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pivotCache/pivotCacheDefinition1.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pivotTables/pivotTable1.xml" ContentType="application/vnd.openxmlformats-officedocument.spreadsheetml.pivotTable+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P:\Professional Services\Invoice Information\Invoice Template\"/>
    </mc:Choice>
  </mc:AlternateContent>
  <xr:revisionPtr revIDLastSave="0" documentId="8_{1BB5BB22-551B-4935-B17D-3E9F15ED43D1}" xr6:coauthVersionLast="47" xr6:coauthVersionMax="47" xr10:uidLastSave="{00000000-0000-0000-0000-000000000000}"/>
  <bookViews>
    <workbookView xWindow="-120" yWindow="-120" windowWidth="29040" windowHeight="15840" firstSheet="1" activeTab="1" xr2:uid="{67CE220E-EAFA-4830-99E4-8ED136FF70BC}"/>
  </bookViews>
  <sheets>
    <sheet name="Rates_PIN_Prj#_TX# input" sheetId="5" r:id="rId1"/>
    <sheet name="Speedchart#s Master List" sheetId="7" r:id="rId2"/>
    <sheet name="Instrs-Total Incl OH_NetFee " sheetId="6" r:id="rId3"/>
    <sheet name="PS Invoice Summary-PasFixed Fee" sheetId="1" r:id="rId4"/>
    <sheet name="Total Labor Summary" sheetId="2" r:id="rId5"/>
    <sheet name="Total including OH &amp; Net Fee" sheetId="3" r:id="rId6"/>
    <sheet name="Daily Labor Log" sheetId="4" r:id="rId7"/>
  </sheets>
  <definedNames>
    <definedName name="_xlnm._FilterDatabase" localSheetId="6" hidden="1">'Daily Labor Log'!$A$2:$J$53</definedName>
    <definedName name="_xlnm._FilterDatabase" localSheetId="5" hidden="1">'Total including OH &amp; Net Fee'!$A$1:$M$28</definedName>
    <definedName name="_xlnm._FilterDatabase" localSheetId="4" hidden="1">'Total Labor Summary'!$A$1:$J$33</definedName>
    <definedName name="_xlnm.Print_Area" localSheetId="6">'Daily Labor Log'!$A$1:$J$54</definedName>
    <definedName name="_xlnm.Print_Area" localSheetId="3">'PS Invoice Summary-PasFixed Fee'!$A$1:$K$47</definedName>
    <definedName name="_xlnm.Print_Area" localSheetId="5">'Total including OH &amp; Net Fee'!$A$1:$M$36</definedName>
    <definedName name="_xlnm.Print_Area" localSheetId="4">'Total Labor Summary'!$A$1:$J$41</definedName>
    <definedName name="_xlnm.Print_Titles" localSheetId="6">'Daily Labor Log'!$1:$1</definedName>
    <definedName name="StudyType">#REF!</definedName>
    <definedName name="UNITS">#REF!</definedName>
    <definedName name="YesNo">#REF!</definedName>
  </definedNames>
  <calcPr calcId="191029"/>
  <pivotCaches>
    <pivotCache cacheId="0" r:id="rId8"/>
  </pivotCaches>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35" i="1" l="1"/>
  <c r="K28" i="1"/>
  <c r="F28" i="1"/>
  <c r="F30" i="2"/>
  <c r="E30" i="2"/>
  <c r="D30" i="2"/>
  <c r="F29" i="2"/>
  <c r="E29" i="2"/>
  <c r="D29" i="2"/>
  <c r="F28" i="2"/>
  <c r="E28" i="2"/>
  <c r="D28" i="2"/>
  <c r="F27" i="2"/>
  <c r="E27" i="2"/>
  <c r="D27" i="2"/>
  <c r="F26" i="2"/>
  <c r="E26" i="2"/>
  <c r="D26" i="2"/>
  <c r="F25" i="2"/>
  <c r="E25" i="2"/>
  <c r="D25" i="2"/>
  <c r="F24" i="2"/>
  <c r="E24" i="2"/>
  <c r="D24" i="2"/>
  <c r="F23" i="2"/>
  <c r="E23" i="2"/>
  <c r="D23" i="2"/>
  <c r="F22" i="2"/>
  <c r="E22" i="2"/>
  <c r="D22" i="2"/>
  <c r="F21" i="2"/>
  <c r="E21" i="2"/>
  <c r="D21" i="2"/>
  <c r="F20" i="2"/>
  <c r="E20" i="2"/>
  <c r="D20" i="2"/>
  <c r="F19" i="2"/>
  <c r="E19" i="2"/>
  <c r="D19" i="2"/>
  <c r="F18" i="2"/>
  <c r="E18" i="2"/>
  <c r="D18" i="2"/>
  <c r="F17" i="2"/>
  <c r="E17" i="2"/>
  <c r="D17" i="2"/>
  <c r="F16" i="2"/>
  <c r="E16" i="2"/>
  <c r="D16" i="2"/>
  <c r="F15" i="2"/>
  <c r="E15" i="2"/>
  <c r="D15" i="2"/>
  <c r="F14" i="2"/>
  <c r="E14" i="2"/>
  <c r="D14" i="2"/>
  <c r="F13" i="2"/>
  <c r="E13" i="2"/>
  <c r="D13" i="2"/>
  <c r="F12" i="2"/>
  <c r="E12" i="2"/>
  <c r="D12" i="2"/>
  <c r="F11" i="2"/>
  <c r="E11" i="2"/>
  <c r="D11" i="2"/>
  <c r="F10" i="2"/>
  <c r="E10" i="2"/>
  <c r="D10" i="2"/>
  <c r="F9" i="2"/>
  <c r="E9" i="2"/>
  <c r="D9" i="2"/>
  <c r="F8" i="2"/>
  <c r="E8" i="2"/>
  <c r="D8" i="2"/>
  <c r="F7" i="2"/>
  <c r="E7" i="2"/>
  <c r="D7" i="2"/>
  <c r="F6" i="2"/>
  <c r="E6" i="2"/>
  <c r="D6" i="2"/>
  <c r="F5" i="2"/>
  <c r="E5" i="2"/>
  <c r="D5" i="2"/>
  <c r="F4" i="2"/>
  <c r="E4" i="2"/>
  <c r="D4" i="2"/>
  <c r="F3" i="2"/>
  <c r="E3" i="2"/>
  <c r="D3" i="2"/>
  <c r="B30" i="2"/>
  <c r="B29" i="2"/>
  <c r="B28" i="2"/>
  <c r="B27" i="2"/>
  <c r="B26" i="2"/>
  <c r="B25" i="2"/>
  <c r="B24" i="2"/>
  <c r="B23" i="2"/>
  <c r="B22" i="2"/>
  <c r="B21" i="2"/>
  <c r="B20" i="2"/>
  <c r="B19" i="2"/>
  <c r="B18" i="2"/>
  <c r="B17" i="2"/>
  <c r="B16" i="2"/>
  <c r="B15" i="2"/>
  <c r="B14" i="2"/>
  <c r="B13" i="2"/>
  <c r="B12" i="2"/>
  <c r="B11" i="2"/>
  <c r="B10" i="2"/>
  <c r="B9" i="2"/>
  <c r="B8" i="2"/>
  <c r="B7" i="2"/>
  <c r="B6" i="2"/>
  <c r="B5" i="2"/>
  <c r="B4" i="2"/>
  <c r="B3" i="2"/>
  <c r="F2" i="2"/>
  <c r="E2" i="2"/>
  <c r="D2" i="2"/>
  <c r="B2" i="2"/>
  <c r="H30" i="2"/>
  <c r="H29" i="2"/>
  <c r="H28" i="2"/>
  <c r="H27" i="2"/>
  <c r="H26" i="2"/>
  <c r="H25" i="2"/>
  <c r="H24" i="2"/>
  <c r="H23" i="2"/>
  <c r="H22" i="2"/>
  <c r="H21" i="2"/>
  <c r="H20" i="2"/>
  <c r="H19" i="2"/>
  <c r="H18" i="2"/>
  <c r="H17" i="2"/>
  <c r="H16" i="2"/>
  <c r="H15" i="2"/>
  <c r="H14" i="2"/>
  <c r="H13" i="2"/>
  <c r="H12" i="2"/>
  <c r="H11" i="2"/>
  <c r="H10" i="2"/>
  <c r="H9" i="2"/>
  <c r="H8" i="2"/>
  <c r="H7" i="2"/>
  <c r="H6" i="2"/>
  <c r="H5" i="2"/>
  <c r="H4" i="2"/>
  <c r="H3" i="2"/>
  <c r="H2" i="2"/>
  <c r="D35" i="3" l="1"/>
  <c r="C35" i="3"/>
  <c r="B35" i="3"/>
  <c r="A35" i="3"/>
  <c r="D34" i="3"/>
  <c r="C34" i="3"/>
  <c r="B34" i="3"/>
  <c r="A34" i="3"/>
  <c r="D33" i="3"/>
  <c r="C33" i="3"/>
  <c r="B33" i="3"/>
  <c r="A33" i="3"/>
  <c r="D25" i="3"/>
  <c r="C25" i="3"/>
  <c r="B25" i="3"/>
  <c r="A25" i="3"/>
  <c r="D24" i="3"/>
  <c r="C24" i="3"/>
  <c r="B24" i="3"/>
  <c r="A24" i="3"/>
  <c r="D23" i="3"/>
  <c r="C23" i="3"/>
  <c r="B23" i="3"/>
  <c r="A23" i="3"/>
  <c r="D22" i="3"/>
  <c r="C22" i="3"/>
  <c r="B22" i="3"/>
  <c r="A22" i="3"/>
  <c r="D21" i="3"/>
  <c r="C21" i="3"/>
  <c r="B21" i="3"/>
  <c r="A21" i="3"/>
  <c r="D20" i="3"/>
  <c r="C20" i="3"/>
  <c r="B20" i="3"/>
  <c r="A20" i="3"/>
  <c r="D19" i="3"/>
  <c r="C19" i="3"/>
  <c r="B19" i="3"/>
  <c r="A19" i="3"/>
  <c r="D18" i="3"/>
  <c r="C18" i="3"/>
  <c r="B18" i="3"/>
  <c r="A18" i="3"/>
  <c r="D17" i="3"/>
  <c r="C17" i="3"/>
  <c r="B17" i="3"/>
  <c r="A17" i="3"/>
  <c r="D16" i="3"/>
  <c r="C16" i="3"/>
  <c r="B16" i="3"/>
  <c r="A16" i="3"/>
  <c r="D15" i="3"/>
  <c r="C15" i="3"/>
  <c r="B15" i="3"/>
  <c r="A15" i="3"/>
  <c r="D14" i="3"/>
  <c r="C14" i="3"/>
  <c r="B14" i="3"/>
  <c r="A14" i="3"/>
  <c r="D13" i="3"/>
  <c r="C13" i="3"/>
  <c r="B13" i="3"/>
  <c r="A13" i="3"/>
  <c r="D12" i="3"/>
  <c r="C12" i="3"/>
  <c r="B12" i="3"/>
  <c r="A12" i="3"/>
  <c r="D11" i="3"/>
  <c r="C11" i="3"/>
  <c r="B11" i="3"/>
  <c r="A11" i="3"/>
  <c r="D10" i="3"/>
  <c r="C10" i="3"/>
  <c r="B10" i="3"/>
  <c r="A10" i="3"/>
  <c r="D9" i="3"/>
  <c r="C9" i="3"/>
  <c r="B9" i="3"/>
  <c r="A9" i="3"/>
  <c r="D8" i="3"/>
  <c r="C8" i="3"/>
  <c r="B8" i="3"/>
  <c r="A8" i="3"/>
  <c r="D7" i="3"/>
  <c r="C7" i="3"/>
  <c r="B7" i="3"/>
  <c r="A7" i="3"/>
  <c r="D6" i="3"/>
  <c r="C6" i="3"/>
  <c r="B6" i="3"/>
  <c r="A6" i="3"/>
  <c r="D5" i="3"/>
  <c r="C5" i="3"/>
  <c r="B5" i="3"/>
  <c r="A5" i="3"/>
  <c r="D4" i="3"/>
  <c r="C4" i="3"/>
  <c r="B4" i="3"/>
  <c r="A4" i="3"/>
  <c r="D3" i="3"/>
  <c r="C3" i="3"/>
  <c r="B3" i="3"/>
  <c r="A3" i="3"/>
  <c r="D2" i="3"/>
  <c r="C2" i="3"/>
  <c r="B2" i="3"/>
  <c r="A2" i="3"/>
  <c r="F35" i="1" l="1"/>
  <c r="J26" i="3"/>
  <c r="D35" i="4" l="1"/>
  <c r="D36" i="4"/>
  <c r="D37" i="4"/>
  <c r="D38" i="4"/>
  <c r="D39" i="4"/>
  <c r="D40" i="4"/>
  <c r="D41" i="4"/>
  <c r="D42" i="4"/>
  <c r="D43" i="4"/>
  <c r="D44" i="4"/>
  <c r="D45" i="4"/>
  <c r="D46" i="4"/>
  <c r="D47" i="4"/>
  <c r="D48" i="4"/>
  <c r="D49" i="4"/>
  <c r="D50" i="4"/>
  <c r="D51" i="4"/>
  <c r="D52" i="4"/>
  <c r="D53" i="4"/>
  <c r="D30" i="4"/>
  <c r="D31" i="4"/>
  <c r="D32" i="4"/>
  <c r="D33" i="4"/>
  <c r="D34" i="4"/>
  <c r="D22" i="4"/>
  <c r="D23" i="4"/>
  <c r="D24" i="4"/>
  <c r="D25" i="4"/>
  <c r="D26" i="4"/>
  <c r="D27" i="4"/>
  <c r="D28" i="4"/>
  <c r="D29" i="4"/>
  <c r="D17" i="4"/>
  <c r="D18" i="4"/>
  <c r="D19" i="4"/>
  <c r="D20" i="4"/>
  <c r="D21" i="4"/>
  <c r="D11" i="4"/>
  <c r="D12" i="4"/>
  <c r="D13" i="4"/>
  <c r="D14" i="4"/>
  <c r="D15" i="4"/>
  <c r="D16" i="4"/>
  <c r="D7" i="4"/>
  <c r="D8" i="4"/>
  <c r="D9" i="4"/>
  <c r="D10" i="4"/>
  <c r="D5" i="4"/>
  <c r="D6" i="4"/>
  <c r="D4" i="4"/>
  <c r="D3" i="4"/>
  <c r="F31" i="2" l="1"/>
  <c r="B45" i="6" s="1"/>
  <c r="E31" i="2"/>
  <c r="H14" i="5" l="1"/>
  <c r="H13" i="5"/>
  <c r="H12" i="5"/>
  <c r="I12" i="5" s="1"/>
  <c r="J12" i="5" s="1"/>
  <c r="H11" i="5"/>
  <c r="C11" i="5"/>
  <c r="H10" i="5"/>
  <c r="I10" i="5" s="1"/>
  <c r="C10" i="5"/>
  <c r="D10" i="5" s="1"/>
  <c r="E10" i="5" s="1"/>
  <c r="I9" i="5"/>
  <c r="J9" i="5" s="1"/>
  <c r="H9" i="5"/>
  <c r="C9" i="5"/>
  <c r="H8" i="5"/>
  <c r="C8" i="5"/>
  <c r="D8" i="5" s="1"/>
  <c r="E8" i="5" s="1"/>
  <c r="I11" i="5" l="1"/>
  <c r="J11" i="5" s="1"/>
  <c r="J10" i="5"/>
  <c r="D11" i="5"/>
  <c r="E11" i="5" s="1"/>
  <c r="I8" i="5"/>
  <c r="J8" i="5" s="1"/>
  <c r="I13" i="5"/>
  <c r="J13" i="5" s="1"/>
  <c r="D9" i="5"/>
  <c r="E9" i="5" s="1"/>
  <c r="I14" i="5"/>
  <c r="J14" i="5" s="1"/>
  <c r="C40" i="1" l="1"/>
  <c r="I9" i="2" l="1"/>
  <c r="I10" i="2"/>
  <c r="C65" i="6" s="1"/>
  <c r="I11" i="2"/>
  <c r="I12" i="2"/>
  <c r="C58" i="6" s="1"/>
  <c r="I13" i="2"/>
  <c r="C68" i="6" s="1"/>
  <c r="I14" i="2"/>
  <c r="I15" i="2"/>
  <c r="C56" i="6" s="1"/>
  <c r="I16" i="2"/>
  <c r="I17" i="2"/>
  <c r="C53" i="6" s="1"/>
  <c r="I18" i="2"/>
  <c r="C66" i="6" s="1"/>
  <c r="I19" i="2"/>
  <c r="C54" i="6" s="1"/>
  <c r="I29" i="2"/>
  <c r="C73" i="6" s="1"/>
  <c r="I30" i="2"/>
  <c r="C75" i="6" s="1"/>
  <c r="I20" i="2"/>
  <c r="C67" i="6" s="1"/>
  <c r="I21" i="2"/>
  <c r="C55" i="6" s="1"/>
  <c r="I22" i="2"/>
  <c r="C69" i="6" s="1"/>
  <c r="I23" i="2"/>
  <c r="C62" i="6" s="1"/>
  <c r="I24" i="2"/>
  <c r="C59" i="6" s="1"/>
  <c r="I25" i="2"/>
  <c r="C64" i="6" s="1"/>
  <c r="I31" i="2"/>
  <c r="E32" i="3"/>
  <c r="H12" i="3"/>
  <c r="H15" i="3"/>
  <c r="B32" i="3" l="1"/>
  <c r="A32" i="3"/>
  <c r="C32" i="3"/>
  <c r="D32" i="3"/>
  <c r="I15" i="3"/>
  <c r="L15" i="3" s="1"/>
  <c r="I12" i="3"/>
  <c r="L12" i="3" s="1"/>
  <c r="H25" i="3"/>
  <c r="H13" i="3"/>
  <c r="H22" i="3"/>
  <c r="H24" i="3"/>
  <c r="H20" i="3"/>
  <c r="H18" i="3"/>
  <c r="H23" i="3"/>
  <c r="H21" i="3"/>
  <c r="H19" i="3"/>
  <c r="H17" i="3"/>
  <c r="H16" i="3"/>
  <c r="H14" i="3"/>
  <c r="I28" i="2"/>
  <c r="C76" i="6" s="1"/>
  <c r="I3" i="2"/>
  <c r="C57" i="6" s="1"/>
  <c r="I5" i="2"/>
  <c r="C70" i="6" s="1"/>
  <c r="I6" i="2"/>
  <c r="C61" i="6" s="1"/>
  <c r="I26" i="2"/>
  <c r="C72" i="6" s="1"/>
  <c r="I27" i="2"/>
  <c r="C74" i="6" s="1"/>
  <c r="I2" i="2"/>
  <c r="I17" i="3" l="1"/>
  <c r="L17" i="3" s="1"/>
  <c r="L24" i="3"/>
  <c r="L23" i="3"/>
  <c r="L18" i="3"/>
  <c r="I23" i="3"/>
  <c r="I24" i="3"/>
  <c r="I16" i="3"/>
  <c r="L16" i="3" s="1"/>
  <c r="I22" i="3"/>
  <c r="L22" i="3" s="1"/>
  <c r="I18" i="3"/>
  <c r="I14" i="3"/>
  <c r="L14" i="3" s="1"/>
  <c r="I20" i="3"/>
  <c r="L20" i="3" s="1"/>
  <c r="I13" i="3"/>
  <c r="L13" i="3" s="1"/>
  <c r="I19" i="3"/>
  <c r="L19" i="3" s="1"/>
  <c r="I25" i="3"/>
  <c r="L25" i="3" s="1"/>
  <c r="I21" i="3"/>
  <c r="L21" i="3" s="1"/>
  <c r="L27" i="3" s="1"/>
  <c r="H11" i="3"/>
  <c r="I7" i="2"/>
  <c r="C60" i="6" s="1"/>
  <c r="I8" i="2"/>
  <c r="C71" i="6" s="1"/>
  <c r="I4" i="2"/>
  <c r="C63" i="6" s="1"/>
  <c r="I32" i="2" l="1"/>
  <c r="I11" i="3"/>
  <c r="L11" i="3" s="1"/>
  <c r="H5" i="3"/>
  <c r="H10" i="3"/>
  <c r="H6" i="3"/>
  <c r="H4" i="3"/>
  <c r="H3" i="3"/>
  <c r="H8" i="3"/>
  <c r="H7" i="3"/>
  <c r="H9" i="3"/>
  <c r="K26" i="3"/>
  <c r="H35" i="3"/>
  <c r="L35" i="3" s="1"/>
  <c r="H34" i="3"/>
  <c r="L34" i="3" s="1"/>
  <c r="H33" i="3"/>
  <c r="L33" i="3" s="1"/>
  <c r="H32" i="3"/>
  <c r="L32" i="3" s="1"/>
  <c r="G32" i="2"/>
  <c r="J46" i="1"/>
  <c r="K42" i="1"/>
  <c r="B42" i="1"/>
  <c r="K41" i="1"/>
  <c r="J40" i="1"/>
  <c r="I40" i="1"/>
  <c r="H40" i="1"/>
  <c r="G40" i="1"/>
  <c r="F40" i="1"/>
  <c r="K36" i="1"/>
  <c r="K30" i="1"/>
  <c r="J28" i="1"/>
  <c r="I28" i="1"/>
  <c r="H28" i="1"/>
  <c r="G28" i="1"/>
  <c r="J27" i="1"/>
  <c r="I27" i="1"/>
  <c r="H27" i="1"/>
  <c r="G27" i="1"/>
  <c r="F27" i="1"/>
  <c r="L6" i="3" l="1"/>
  <c r="L10" i="3"/>
  <c r="L5" i="3"/>
  <c r="I7" i="3"/>
  <c r="L7" i="3" s="1"/>
  <c r="I4" i="3"/>
  <c r="L4" i="3" s="1"/>
  <c r="I8" i="3"/>
  <c r="L8" i="3" s="1"/>
  <c r="F26" i="3"/>
  <c r="I6" i="3"/>
  <c r="I10" i="3"/>
  <c r="I5" i="3"/>
  <c r="I9" i="3"/>
  <c r="L9" i="3" s="1"/>
  <c r="I3" i="3"/>
  <c r="L3" i="3" s="1"/>
  <c r="H2" i="3"/>
  <c r="J32" i="1"/>
  <c r="H32" i="1"/>
  <c r="G32" i="1"/>
  <c r="G43" i="1" s="1"/>
  <c r="I32" i="1"/>
  <c r="I43" i="1" s="1"/>
  <c r="G25" i="3" l="1"/>
  <c r="H26" i="3"/>
  <c r="F31" i="1" s="1"/>
  <c r="K31" i="1" s="1"/>
  <c r="G24" i="3"/>
  <c r="G12" i="3"/>
  <c r="G23" i="3"/>
  <c r="G22" i="3"/>
  <c r="G19" i="3"/>
  <c r="G21" i="3"/>
  <c r="G20" i="3"/>
  <c r="G18" i="3"/>
  <c r="G16" i="3"/>
  <c r="G15" i="3"/>
  <c r="G14" i="3"/>
  <c r="G13" i="3"/>
  <c r="G17" i="3"/>
  <c r="G11" i="3"/>
  <c r="G4" i="3"/>
  <c r="G9" i="3"/>
  <c r="G8" i="3"/>
  <c r="G5" i="3"/>
  <c r="G3" i="3"/>
  <c r="G10" i="3"/>
  <c r="G6" i="3"/>
  <c r="G7" i="3"/>
  <c r="G2" i="3"/>
  <c r="I2" i="3"/>
  <c r="I26" i="3" s="1"/>
  <c r="F29" i="1"/>
  <c r="K29" i="1" s="1"/>
  <c r="J43" i="1"/>
  <c r="H43" i="1"/>
  <c r="L2" i="3" l="1"/>
  <c r="L28" i="3" s="1"/>
  <c r="L26" i="3" s="1"/>
  <c r="G26" i="3"/>
  <c r="F32" i="1"/>
  <c r="K32" i="1" s="1"/>
  <c r="L36" i="3" l="1"/>
  <c r="F37" i="1" s="1"/>
  <c r="F43" i="1" l="1"/>
  <c r="K37" i="1"/>
  <c r="K39" i="1" s="1"/>
  <c r="K43" i="1"/>
  <c r="K44" i="1" s="1"/>
</calcChain>
</file>

<file path=xl/sharedStrings.xml><?xml version="1.0" encoding="utf-8"?>
<sst xmlns="http://schemas.openxmlformats.org/spreadsheetml/2006/main" count="884" uniqueCount="232">
  <si>
    <t>FOR INTERNAL USE ONLY</t>
  </si>
  <si>
    <t>RECEIVED DATE</t>
  </si>
  <si>
    <t>PROJECT MANAGER APPROVAL</t>
  </si>
  <si>
    <t>PS APPROVAL</t>
  </si>
  <si>
    <t>TO:</t>
  </si>
  <si>
    <t>Remit:</t>
  </si>
  <si>
    <t>Tennessee Department Of Transportation</t>
  </si>
  <si>
    <t>(Address Line 2)</t>
  </si>
  <si>
    <t>James K. Polk Building, Suite 500</t>
  </si>
  <si>
    <t>505 Deaderick Street</t>
  </si>
  <si>
    <t>BILLING CONTACT:</t>
  </si>
  <si>
    <t>Nashville, TN 37243-0334</t>
  </si>
  <si>
    <t>PHONE:</t>
  </si>
  <si>
    <t>Email:</t>
  </si>
  <si>
    <t>Project Manager:</t>
  </si>
  <si>
    <r>
      <t>CONSULTANT PROJECT/JOB NO.</t>
    </r>
    <r>
      <rPr>
        <sz val="8"/>
        <rFont val="Arial"/>
        <family val="2"/>
      </rPr>
      <t>(optional)</t>
    </r>
    <r>
      <rPr>
        <b/>
        <sz val="8"/>
        <rFont val="Arial"/>
        <family val="2"/>
      </rPr>
      <t>:</t>
    </r>
  </si>
  <si>
    <t>Pay Terms:</t>
  </si>
  <si>
    <t>AGREEMENT #:</t>
  </si>
  <si>
    <t>INVOICE DATE:</t>
  </si>
  <si>
    <t>WORK ORDER #:</t>
  </si>
  <si>
    <t>INVOICE #:</t>
  </si>
  <si>
    <t>No</t>
  </si>
  <si>
    <t>Yes</t>
  </si>
  <si>
    <t>INVOICE PERIOD:</t>
  </si>
  <si>
    <t>to</t>
  </si>
  <si>
    <t>Final Invoice:</t>
  </si>
  <si>
    <t>PROGRESS BILLING #:</t>
  </si>
  <si>
    <t>For professional services relative to:</t>
  </si>
  <si>
    <t>*Projects ending in -04 are State Funded</t>
  </si>
  <si>
    <r>
      <rPr>
        <b/>
        <sz val="8"/>
        <rFont val="Arial"/>
        <family val="2"/>
      </rPr>
      <t xml:space="preserve">Ref. </t>
    </r>
    <r>
      <rPr>
        <b/>
        <u/>
        <sz val="8"/>
        <rFont val="Arial"/>
        <family val="2"/>
      </rPr>
      <t>No.</t>
    </r>
  </si>
  <si>
    <r>
      <t xml:space="preserve">State Project #
</t>
    </r>
    <r>
      <rPr>
        <u/>
        <sz val="8"/>
        <rFont val="Arial"/>
        <family val="2"/>
      </rPr>
      <t>(99999-9999-99)</t>
    </r>
  </si>
  <si>
    <r>
      <rPr>
        <b/>
        <sz val="8"/>
        <rFont val="Arial"/>
        <family val="2"/>
      </rPr>
      <t xml:space="preserve">Const. </t>
    </r>
    <r>
      <rPr>
        <b/>
        <u/>
        <sz val="8"/>
        <rFont val="Arial"/>
        <family val="2"/>
      </rPr>
      <t xml:space="preserve">
Contract</t>
    </r>
  </si>
  <si>
    <r>
      <rPr>
        <b/>
        <sz val="8"/>
        <rFont val="Arial"/>
        <family val="2"/>
      </rPr>
      <t xml:space="preserve"> Funding</t>
    </r>
    <r>
      <rPr>
        <b/>
        <u/>
        <sz val="8"/>
        <rFont val="Arial"/>
        <family val="2"/>
      </rPr>
      <t xml:space="preserve">
Source</t>
    </r>
  </si>
  <si>
    <r>
      <rPr>
        <sz val="8"/>
        <rFont val="Arial"/>
        <family val="2"/>
      </rPr>
      <t>If available,</t>
    </r>
    <r>
      <rPr>
        <b/>
        <u/>
        <sz val="8"/>
        <rFont val="Arial"/>
        <family val="2"/>
      </rPr>
      <t xml:space="preserve">
PIN, Fed. Proj. #</t>
    </r>
  </si>
  <si>
    <t xml:space="preserve">Location Description </t>
  </si>
  <si>
    <t>County/s</t>
  </si>
  <si>
    <t>Ref. No.</t>
  </si>
  <si>
    <t>Expense Category</t>
  </si>
  <si>
    <t>Project:</t>
  </si>
  <si>
    <t>Totals</t>
  </si>
  <si>
    <t>I.</t>
  </si>
  <si>
    <t>Direct Labor (DL) Total</t>
  </si>
  <si>
    <t>a.</t>
  </si>
  <si>
    <t>Home:</t>
  </si>
  <si>
    <t xml:space="preserve">Per Schedule No. </t>
  </si>
  <si>
    <t>b.</t>
  </si>
  <si>
    <t>Field:</t>
  </si>
  <si>
    <t>II.</t>
  </si>
  <si>
    <t>Overhead Total</t>
  </si>
  <si>
    <t>Federal</t>
  </si>
  <si>
    <t>State</t>
  </si>
  <si>
    <t>III.</t>
  </si>
  <si>
    <t>* fee balance if less than calculated</t>
  </si>
  <si>
    <t>Not to Exceed</t>
  </si>
  <si>
    <t>Fee Previously Billed</t>
  </si>
  <si>
    <t>IV.</t>
  </si>
  <si>
    <t>Direct Costs</t>
  </si>
  <si>
    <t>V.</t>
  </si>
  <si>
    <t>(Extra Category)</t>
  </si>
  <si>
    <t xml:space="preserve"> TOTAL AMOUNT DUE THIS INVOICE</t>
  </si>
  <si>
    <t xml:space="preserve">% Invoiced to Date: </t>
  </si>
  <si>
    <t>:</t>
  </si>
  <si>
    <t>Contract or Project Ceiling/s:</t>
  </si>
  <si>
    <t>Less Amount Previously Invoiced:</t>
  </si>
  <si>
    <t>I, the undersigned, do hereby certify that the above invoice is true and correct to the best of my knowledge and that payment has not been received or costs previously invoiced.</t>
  </si>
  <si>
    <t>By:</t>
  </si>
  <si>
    <t>(Principal's Signature or e-Signature)</t>
  </si>
  <si>
    <t>Date:</t>
  </si>
  <si>
    <t>(Principal's typed name and title)</t>
  </si>
  <si>
    <t>*The expenditures included on this billing will be reallocated to the applicable projects stated.</t>
  </si>
  <si>
    <t>Name</t>
  </si>
  <si>
    <t>PIN</t>
  </si>
  <si>
    <t>Project Number</t>
  </si>
  <si>
    <r>
      <t xml:space="preserve">Dept. ID (if </t>
    </r>
    <r>
      <rPr>
        <b/>
        <u/>
        <sz val="12"/>
        <color theme="1"/>
        <rFont val="Arial"/>
        <family val="2"/>
      </rPr>
      <t>no</t>
    </r>
    <r>
      <rPr>
        <b/>
        <sz val="12"/>
        <color theme="1"/>
        <rFont val="Arial"/>
        <family val="2"/>
      </rPr>
      <t xml:space="preserve"> project number)</t>
    </r>
  </si>
  <si>
    <t>Federal or State</t>
  </si>
  <si>
    <t>Speedchart</t>
  </si>
  <si>
    <t>Hrs./Mins. Spent</t>
  </si>
  <si>
    <t>Pay Rate</t>
  </si>
  <si>
    <t>Total</t>
  </si>
  <si>
    <t>Comments</t>
  </si>
  <si>
    <t>Overhead</t>
  </si>
  <si>
    <t>Total Labor Cost</t>
  </si>
  <si>
    <t xml:space="preserve">% of Total Labor </t>
  </si>
  <si>
    <t>Net Fee</t>
  </si>
  <si>
    <t>(Should =100%)</t>
  </si>
  <si>
    <t>Date</t>
  </si>
  <si>
    <t>Speed Chart</t>
  </si>
  <si>
    <t>Total Miles</t>
  </si>
  <si>
    <t>Mileage Rate</t>
  </si>
  <si>
    <t>Total Mileage</t>
  </si>
  <si>
    <t>Lodging Cost</t>
  </si>
  <si>
    <t>Other Direct Costs</t>
  </si>
  <si>
    <t>*The expenditures included on this billing will be reallocated to the projects stated above.</t>
  </si>
  <si>
    <t>TOTAL</t>
  </si>
  <si>
    <t>Professional Services Division</t>
  </si>
  <si>
    <t xml:space="preserve">tdot.psinvoices@tn.gov </t>
  </si>
  <si>
    <t>FYI - DO NOT SHOW THE FOLLOWING INFORMATION ON INVOICES: 1) Bank Account Numbers; 2) Social Security Numbers; 3) Official State or Government Issued Driver Licenses or Identification Numbers; 4) Alien Registration Numbers or Passport Numbers; 5) Employer or Taxpayer Identification Numbers; 6) Unique Biometric Data, such as Fingerprints, \Voice Prints, Retina or Iris Images, or Other Unique Physical Representations; and 7) Unique Electronic Identification Numbers, Addresses, Routing Codes or Other Personal Identifying Data which enables an Individual to Obtain Merchandise or Service or to Otherwise Financially Encumber the Legitimate Possessor of the Identifying Data</t>
  </si>
  <si>
    <t>DBE? Y/N</t>
  </si>
  <si>
    <t>Total = I. + II. + III. + IV. + V. =</t>
  </si>
  <si>
    <t>Employee</t>
  </si>
  <si>
    <t>Hours</t>
  </si>
  <si>
    <t>Cost</t>
  </si>
  <si>
    <t>Region/HQ</t>
  </si>
  <si>
    <t>State or Federal</t>
  </si>
  <si>
    <t>TDOT PIN</t>
  </si>
  <si>
    <t>TDOT Dept. ID (if no PN/TX)</t>
  </si>
  <si>
    <t>Daily Labor Log</t>
  </si>
  <si>
    <t>* Can be used instead of individual Timesheets</t>
  </si>
  <si>
    <t>TDOT PN #</t>
  </si>
  <si>
    <t>DIVISION-Region:</t>
  </si>
  <si>
    <t>107579.00</t>
  </si>
  <si>
    <t>37005-1237-14</t>
  </si>
  <si>
    <t>124161.00</t>
  </si>
  <si>
    <t>10455-0407-04</t>
  </si>
  <si>
    <t>121539.00</t>
  </si>
  <si>
    <t>35455-0416-04</t>
  </si>
  <si>
    <t>Employee Name</t>
  </si>
  <si>
    <t>Rate</t>
  </si>
  <si>
    <t>Fee</t>
  </si>
  <si>
    <t>Weighted Total</t>
  </si>
  <si>
    <t>Grand Total</t>
  </si>
  <si>
    <t>Row Labels</t>
  </si>
  <si>
    <t>Sum of Hours</t>
  </si>
  <si>
    <t>124677.00</t>
  </si>
  <si>
    <t>06946-0435-94</t>
  </si>
  <si>
    <t>102380.02</t>
  </si>
  <si>
    <t>62016-1206-14</t>
  </si>
  <si>
    <t>131306.00</t>
  </si>
  <si>
    <t>57201-0159-44</t>
  </si>
  <si>
    <t>124128.00</t>
  </si>
  <si>
    <t>01003-0246-94</t>
  </si>
  <si>
    <t>TX00281527</t>
  </si>
  <si>
    <t>TX00293241</t>
  </si>
  <si>
    <t>TX00289992</t>
  </si>
  <si>
    <t>TX00298220</t>
  </si>
  <si>
    <t>TX00311681</t>
  </si>
  <si>
    <t>TX00249017</t>
  </si>
  <si>
    <t>TX00261116</t>
  </si>
  <si>
    <t>115906.00</t>
  </si>
  <si>
    <t>75078-0206-54</t>
  </si>
  <si>
    <t>100326.02</t>
  </si>
  <si>
    <t>09009-1235-14</t>
  </si>
  <si>
    <t>112834.03</t>
  </si>
  <si>
    <t>82010-1236-14</t>
  </si>
  <si>
    <t>106982.00</t>
  </si>
  <si>
    <t>75013-1242-54</t>
  </si>
  <si>
    <t>105768.00</t>
  </si>
  <si>
    <t>03003-1227-14</t>
  </si>
  <si>
    <t>TX00314115</t>
  </si>
  <si>
    <t>TX00304080</t>
  </si>
  <si>
    <t>TX00267289</t>
  </si>
  <si>
    <t>TX00235485</t>
  </si>
  <si>
    <t>TX00217159</t>
  </si>
  <si>
    <t>107298.03</t>
  </si>
  <si>
    <t>23I155-M3-004</t>
  </si>
  <si>
    <t>101886.02</t>
  </si>
  <si>
    <t>40003-0222-14</t>
  </si>
  <si>
    <t>118852.01</t>
  </si>
  <si>
    <t>23011-0240-94</t>
  </si>
  <si>
    <t>124519.00</t>
  </si>
  <si>
    <t>73455-0411-04</t>
  </si>
  <si>
    <t>124692.00</t>
  </si>
  <si>
    <t>80455-0420-04</t>
  </si>
  <si>
    <t>129457.00</t>
  </si>
  <si>
    <t>94007-0235-94</t>
  </si>
  <si>
    <t>TX00303023</t>
  </si>
  <si>
    <t>TX00321808</t>
  </si>
  <si>
    <t>TX00286510</t>
  </si>
  <si>
    <t>TX00249029</t>
  </si>
  <si>
    <t>TX00284126</t>
  </si>
  <si>
    <t>TX00310760</t>
  </si>
  <si>
    <t>Enter Hourly Rates</t>
  </si>
  <si>
    <t>Total Invoiced (must match cover sheet total)</t>
  </si>
  <si>
    <t>Complete sections in green</t>
  </si>
  <si>
    <t xml:space="preserve"> </t>
  </si>
  <si>
    <t>John Doe</t>
  </si>
  <si>
    <t>Tom Jones</t>
  </si>
  <si>
    <t>Sally Snow</t>
  </si>
  <si>
    <t>Federal OH Rate</t>
  </si>
  <si>
    <t>State OH Rate</t>
  </si>
  <si>
    <t>Dates: 2/25/24-3/23/24</t>
  </si>
  <si>
    <t>ABC Engineering</t>
  </si>
  <si>
    <t>P.O. Box 226</t>
  </si>
  <si>
    <t>Nashville, TN 37202</t>
  </si>
  <si>
    <t>615-555-9999</t>
  </si>
  <si>
    <t>Sally.Snow@ABCEngineering.com</t>
  </si>
  <si>
    <t>Ed Church</t>
  </si>
  <si>
    <t>E2333CA</t>
  </si>
  <si>
    <t>E2333</t>
  </si>
  <si>
    <t>x</t>
  </si>
  <si>
    <t>1234</t>
  </si>
  <si>
    <t>Nancy Drew</t>
  </si>
  <si>
    <t>Copy &amp; Paste information from Daily Labor Log tab into this chart (in order below)--remove duplicates from TDOT PN#</t>
  </si>
  <si>
    <t>109542.01</t>
  </si>
  <si>
    <t>11008-1224-14</t>
  </si>
  <si>
    <t>124154.00</t>
  </si>
  <si>
    <t>12007-0220-94</t>
  </si>
  <si>
    <t>127530.00</t>
  </si>
  <si>
    <t>15003-0242-94</t>
  </si>
  <si>
    <t>101589.01</t>
  </si>
  <si>
    <t>16009-1232-14</t>
  </si>
  <si>
    <t>110324.01</t>
  </si>
  <si>
    <t>16945-0681-94</t>
  </si>
  <si>
    <t>124053.00</t>
  </si>
  <si>
    <t>18004-0227-94</t>
  </si>
  <si>
    <t>TX00309997</t>
  </si>
  <si>
    <t>TX00250627</t>
  </si>
  <si>
    <t>TX00311664</t>
  </si>
  <si>
    <t>TX00293264</t>
  </si>
  <si>
    <t>TX00289136</t>
  </si>
  <si>
    <t>TX00301639</t>
  </si>
  <si>
    <t>After pasting information from timesheets into Daily Labor Log click inside pivot table below and choose "refresh"--Use this info to populate Total Labor Summary Tab</t>
  </si>
  <si>
    <t>input sections in green from pivot table and chart on Rates_PIN_Prj#_TX# input tab</t>
  </si>
  <si>
    <t>then sort by TDOT PN#--this will give the PIN &amp; Speedchart (TX)# to use on the Total Labor Summary Tab</t>
  </si>
  <si>
    <t>RATES_PIN_Project#_Speedchart (TX) # INPUT TAB</t>
  </si>
  <si>
    <t>Cost (Formula)</t>
  </si>
  <si>
    <t>Total State (Including direct costs)</t>
  </si>
  <si>
    <t>Total Federal (Including direct costs)</t>
  </si>
  <si>
    <t xml:space="preserve">Direct Costs </t>
  </si>
  <si>
    <t>Subs</t>
  </si>
  <si>
    <t>`</t>
  </si>
  <si>
    <t>3.  COPY BELOW COST FORMULA TO COL C BELOW</t>
  </si>
  <si>
    <t>4.  REVISE $B1 IN FORMULA TO MATCH FIRST ENTRY ROW BELOW</t>
  </si>
  <si>
    <t>TO REMOVE DUPLICATES:  SELECT DATA IN COL A &amp; B BELOW; SELECT REMOVE DUPLICATES; UNCHECK COL A</t>
  </si>
  <si>
    <t>5.  COPY &amp; PASTE VALUES FROM BELOW COL B &amp; C TO TOTAL INCL OH &amp; NET FEE COL E &amp; F</t>
  </si>
  <si>
    <t>2.  COPY COL A &amp; B FROM ABOVE TO BELOW &amp; REMOVE DUPLICATES; SORT BY COL A &amp; COL B (TDOT USES TX# FOR DATA)</t>
  </si>
  <si>
    <t>1.  COPY FROM TOTAL LABOR SUMMARY COL E &amp; F TO BELOW</t>
  </si>
  <si>
    <t>(Cost) column has a formula</t>
  </si>
  <si>
    <t>enter information from timesheets in cells to left--Speedchart# can be found on Speedchart Master tab</t>
  </si>
  <si>
    <t>MASTER LIST FOR PIN/PN#/Funding Type/SC# --To use when populating invoices (Add new # each time)</t>
  </si>
  <si>
    <r>
      <t xml:space="preserve">Net Fee (DL + OH x </t>
    </r>
    <r>
      <rPr>
        <u/>
        <sz val="8"/>
        <rFont val="Arial"/>
        <family val="2"/>
      </rPr>
      <t>11.5</t>
    </r>
    <r>
      <rPr>
        <sz val="8"/>
        <rFont val="Arial"/>
        <family val="2"/>
      </rPr>
      <t>%</t>
    </r>
  </si>
  <si>
    <t>COPY &amp; PASTE VALUES FROM INSTRUCTIONS TAB COL B &amp; C TO TOTAL INCL OH &amp; NET FEE COL E &amp; 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</si>
</sst>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44" formatCode="_(&quot;$&quot;* #,##0.00_);_(&quot;$&quot;* \(#,##0.00\);_(&quot;$&quot;* &quot;-&quot;??_);_(@_)"/>
    <numFmt numFmtId="43" formatCode="_(* #,##0.00_);_(* \(#,##0.00\);_(* &quot;-&quot;??_);_(@_)"/>
    <numFmt numFmtId="164" formatCode="mm/dd/yy;@"/>
    <numFmt numFmtId="165" formatCode="[$-409]mmmm\ d\,\ yyyy;@"/>
    <numFmt numFmtId="166" formatCode="&quot;$&quot;#,##0.00"/>
    <numFmt numFmtId="167" formatCode="0.0%"/>
    <numFmt numFmtId="168" formatCode="&quot;Total Invoiced thru &quot;m/d/yyyy&quot;:&quot;"/>
    <numFmt numFmtId="169" formatCode="00000\-0000\-00"/>
    <numFmt numFmtId="170" formatCode="\T\X00000000"/>
    <numFmt numFmtId="171" formatCode="0.000%"/>
  </numFmts>
  <fonts count="36" x14ac:knownFonts="1">
    <font>
      <sz val="10"/>
      <name val="Arial"/>
      <family val="2"/>
    </font>
    <font>
      <sz val="11"/>
      <color theme="1"/>
      <name val="Calibri"/>
      <family val="2"/>
      <scheme val="minor"/>
    </font>
    <font>
      <sz val="10"/>
      <name val="Arial"/>
      <family val="2"/>
    </font>
    <font>
      <b/>
      <sz val="9"/>
      <name val="Arial"/>
      <family val="2"/>
    </font>
    <font>
      <sz val="9"/>
      <name val="Arial"/>
      <family val="2"/>
    </font>
    <font>
      <b/>
      <u/>
      <sz val="9"/>
      <name val="Arial"/>
      <family val="2"/>
    </font>
    <font>
      <b/>
      <sz val="8"/>
      <name val="Arial"/>
      <family val="2"/>
    </font>
    <font>
      <sz val="8"/>
      <name val="Arial"/>
      <family val="2"/>
    </font>
    <font>
      <b/>
      <sz val="10"/>
      <name val="Arial"/>
      <family val="2"/>
    </font>
    <font>
      <b/>
      <sz val="10"/>
      <color rgb="FFFF0000"/>
      <name val="Arial"/>
      <family val="2"/>
    </font>
    <font>
      <u/>
      <sz val="8"/>
      <name val="Arial"/>
      <family val="2"/>
    </font>
    <font>
      <i/>
      <sz val="8"/>
      <name val="Arial"/>
      <family val="2"/>
    </font>
    <font>
      <b/>
      <u/>
      <sz val="8"/>
      <name val="Arial"/>
      <family val="2"/>
    </font>
    <font>
      <i/>
      <sz val="7"/>
      <name val="Arial"/>
      <family val="2"/>
    </font>
    <font>
      <sz val="7"/>
      <name val="Arial"/>
      <family val="2"/>
    </font>
    <font>
      <sz val="8"/>
      <color theme="0" tint="-0.34998626667073579"/>
      <name val="Arial"/>
      <family val="2"/>
    </font>
    <font>
      <b/>
      <sz val="8"/>
      <color theme="0"/>
      <name val="Arial"/>
      <family val="2"/>
    </font>
    <font>
      <b/>
      <sz val="11"/>
      <color theme="0"/>
      <name val="Calibri"/>
      <family val="2"/>
      <scheme val="minor"/>
    </font>
    <font>
      <b/>
      <sz val="8"/>
      <color rgb="FFFF0000"/>
      <name val="Arial"/>
      <family val="2"/>
    </font>
    <font>
      <b/>
      <sz val="12"/>
      <color theme="1"/>
      <name val="Arial"/>
      <family val="2"/>
    </font>
    <font>
      <b/>
      <u/>
      <sz val="12"/>
      <color theme="1"/>
      <name val="Arial"/>
      <family val="2"/>
    </font>
    <font>
      <sz val="12"/>
      <color theme="1"/>
      <name val="Arial"/>
      <family val="2"/>
    </font>
    <font>
      <sz val="12"/>
      <color rgb="FFFF0000"/>
      <name val="Arial"/>
      <family val="2"/>
    </font>
    <font>
      <b/>
      <sz val="12"/>
      <color rgb="FFFF0000"/>
      <name val="Arial"/>
      <family val="2"/>
    </font>
    <font>
      <b/>
      <sz val="14"/>
      <color rgb="FFFF0000"/>
      <name val="Arial"/>
      <family val="2"/>
    </font>
    <font>
      <b/>
      <sz val="14"/>
      <name val="Arial"/>
      <family val="2"/>
    </font>
    <font>
      <b/>
      <sz val="14"/>
      <color theme="1"/>
      <name val="Arial"/>
      <family val="2"/>
    </font>
    <font>
      <sz val="14"/>
      <color rgb="FFFF0000"/>
      <name val="Calibri"/>
      <family val="2"/>
      <scheme val="minor"/>
    </font>
    <font>
      <u/>
      <sz val="10"/>
      <color theme="10"/>
      <name val="Arial"/>
      <family val="2"/>
    </font>
    <font>
      <sz val="12"/>
      <name val="Arial"/>
      <family val="2"/>
    </font>
    <font>
      <b/>
      <sz val="10"/>
      <color theme="8" tint="-0.249977111117893"/>
      <name val="Arial"/>
      <family val="2"/>
    </font>
    <font>
      <sz val="10"/>
      <color theme="8" tint="-0.249977111117893"/>
      <name val="Arial"/>
      <family val="2"/>
    </font>
    <font>
      <sz val="10"/>
      <color rgb="FFFF0000"/>
      <name val="Arial"/>
      <family val="2"/>
    </font>
    <font>
      <sz val="12"/>
      <color rgb="FFFF0000"/>
      <name val="Calibri"/>
      <family val="2"/>
      <scheme val="minor"/>
    </font>
    <font>
      <sz val="10"/>
      <color theme="1"/>
      <name val="Arial"/>
      <family val="2"/>
    </font>
    <font>
      <sz val="9"/>
      <color rgb="FFFF0000"/>
      <name val="Arial"/>
      <family val="2"/>
    </font>
  </fonts>
  <fills count="11">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rgb="FFA5A5A5"/>
      </patternFill>
    </fill>
    <fill>
      <patternFill patternType="solid">
        <fgColor rgb="FF92D050"/>
        <bgColor indexed="64"/>
      </patternFill>
    </fill>
    <fill>
      <patternFill patternType="solid">
        <fgColor theme="0" tint="-0.34998626667073579"/>
        <bgColor indexed="64"/>
      </patternFill>
    </fill>
    <fill>
      <patternFill patternType="solid">
        <fgColor theme="5" tint="0.79998168889431442"/>
        <bgColor indexed="64"/>
      </patternFill>
    </fill>
    <fill>
      <patternFill patternType="solid">
        <fgColor theme="4" tint="0.39997558519241921"/>
        <bgColor indexed="64"/>
      </patternFill>
    </fill>
    <fill>
      <patternFill patternType="solid">
        <fgColor theme="9" tint="0.79998168889431442"/>
        <bgColor indexed="64"/>
      </patternFill>
    </fill>
    <fill>
      <patternFill patternType="solid">
        <fgColor rgb="FFFFFF00"/>
        <bgColor indexed="64"/>
      </patternFill>
    </fill>
  </fills>
  <borders count="64">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hair">
        <color indexed="64"/>
      </right>
      <top/>
      <bottom style="hair">
        <color indexed="64"/>
      </bottom>
      <diagonal/>
    </border>
    <border>
      <left style="hair">
        <color indexed="64"/>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style="hair">
        <color indexed="64"/>
      </left>
      <right style="hair">
        <color indexed="64"/>
      </right>
      <top style="thin">
        <color indexed="64"/>
      </top>
      <bottom/>
      <diagonal/>
    </border>
    <border>
      <left/>
      <right style="thin">
        <color indexed="64"/>
      </right>
      <top style="thin">
        <color indexed="64"/>
      </top>
      <bottom/>
      <diagonal/>
    </border>
    <border>
      <left style="thin">
        <color indexed="64"/>
      </left>
      <right/>
      <top/>
      <bottom/>
      <diagonal/>
    </border>
    <border>
      <left style="hair">
        <color indexed="64"/>
      </left>
      <right style="hair">
        <color indexed="64"/>
      </right>
      <top/>
      <bottom/>
      <diagonal/>
    </border>
    <border>
      <left/>
      <right style="thin">
        <color indexed="64"/>
      </right>
      <top/>
      <bottom/>
      <diagonal/>
    </border>
    <border>
      <left style="thin">
        <color indexed="64"/>
      </left>
      <right/>
      <top/>
      <bottom style="hair">
        <color indexed="64"/>
      </bottom>
      <diagonal/>
    </border>
    <border>
      <left/>
      <right style="hair">
        <color indexed="64"/>
      </right>
      <top style="thin">
        <color indexed="64"/>
      </top>
      <bottom style="thin">
        <color indexed="64"/>
      </bottom>
      <diagonal/>
    </border>
    <border>
      <left/>
      <right style="thin">
        <color indexed="64"/>
      </right>
      <top/>
      <bottom style="hair">
        <color indexed="64"/>
      </bottom>
      <diagonal/>
    </border>
    <border>
      <left style="hair">
        <color indexed="64"/>
      </left>
      <right style="hair">
        <color indexed="64"/>
      </right>
      <top/>
      <bottom style="thin">
        <color indexed="64"/>
      </bottom>
      <diagonal/>
    </border>
    <border>
      <left/>
      <right/>
      <top style="thin">
        <color indexed="64"/>
      </top>
      <bottom style="medium">
        <color indexed="64"/>
      </bottom>
      <diagonal/>
    </border>
    <border>
      <left/>
      <right/>
      <top/>
      <bottom style="double">
        <color indexed="64"/>
      </bottom>
      <diagonal/>
    </border>
    <border>
      <left style="hair">
        <color indexed="64"/>
      </left>
      <right/>
      <top/>
      <bottom/>
      <diagonal/>
    </border>
    <border>
      <left style="double">
        <color rgb="FF3F3F3F"/>
      </left>
      <right style="double">
        <color rgb="FF3F3F3F"/>
      </right>
      <top style="double">
        <color rgb="FF3F3F3F"/>
      </top>
      <bottom style="double">
        <color rgb="FF3F3F3F"/>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thin">
        <color indexed="64"/>
      </bottom>
      <diagonal/>
    </border>
    <border>
      <left style="thin">
        <color indexed="64"/>
      </left>
      <right/>
      <top style="medium">
        <color indexed="64"/>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ck">
        <color rgb="FFFF0000"/>
      </left>
      <right/>
      <top style="thick">
        <color rgb="FFFF0000"/>
      </top>
      <bottom/>
      <diagonal/>
    </border>
    <border>
      <left/>
      <right/>
      <top style="thick">
        <color rgb="FFFF0000"/>
      </top>
      <bottom/>
      <diagonal/>
    </border>
    <border>
      <left/>
      <right style="thick">
        <color rgb="FFFF0000"/>
      </right>
      <top style="thick">
        <color rgb="FFFF0000"/>
      </top>
      <bottom/>
      <diagonal/>
    </border>
    <border>
      <left style="thick">
        <color rgb="FFFF0000"/>
      </left>
      <right/>
      <top/>
      <bottom/>
      <diagonal/>
    </border>
    <border>
      <left/>
      <right style="thick">
        <color rgb="FFFF0000"/>
      </right>
      <top/>
      <bottom/>
      <diagonal/>
    </border>
    <border>
      <left style="thick">
        <color rgb="FFFF0000"/>
      </left>
      <right/>
      <top/>
      <bottom style="thick">
        <color rgb="FFFF0000"/>
      </bottom>
      <diagonal/>
    </border>
    <border>
      <left/>
      <right/>
      <top/>
      <bottom style="thick">
        <color rgb="FFFF0000"/>
      </bottom>
      <diagonal/>
    </border>
    <border>
      <left/>
      <right style="thick">
        <color rgb="FFFF0000"/>
      </right>
      <top/>
      <bottom style="thick">
        <color rgb="FFFF0000"/>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right/>
      <top style="medium">
        <color indexed="64"/>
      </top>
      <bottom/>
      <diagonal/>
    </border>
  </borders>
  <cellStyleXfs count="12">
    <xf numFmtId="0" fontId="0" fillId="0" borderId="0"/>
    <xf numFmtId="44" fontId="2" fillId="0" borderId="0" applyFont="0" applyFill="0" applyBorder="0" applyAlignment="0" applyProtection="0"/>
    <xf numFmtId="9" fontId="2" fillId="0" borderId="0" applyFont="0" applyFill="0" applyBorder="0" applyAlignment="0" applyProtection="0"/>
    <xf numFmtId="0" fontId="2" fillId="0" borderId="0"/>
    <xf numFmtId="0" fontId="17" fillId="4" borderId="29" applyNumberFormat="0" applyAlignment="0" applyProtection="0"/>
    <xf numFmtId="0" fontId="1" fillId="0" borderId="0"/>
    <xf numFmtId="0" fontId="1" fillId="0" borderId="0"/>
    <xf numFmtId="0" fontId="28" fillId="0" borderId="0" applyNumberForma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43" fontId="2" fillId="0" borderId="0" applyFont="0" applyFill="0" applyBorder="0" applyAlignment="0" applyProtection="0"/>
  </cellStyleXfs>
  <cellXfs count="285">
    <xf numFmtId="0" fontId="0" fillId="0" borderId="0" xfId="0"/>
    <xf numFmtId="0" fontId="4" fillId="0" borderId="0" xfId="0" applyFont="1"/>
    <xf numFmtId="0" fontId="6" fillId="0" borderId="0" xfId="3" applyFont="1"/>
    <xf numFmtId="0" fontId="7" fillId="0" borderId="0" xfId="0" applyFont="1"/>
    <xf numFmtId="0" fontId="6" fillId="0" borderId="0" xfId="3" applyFont="1" applyAlignment="1">
      <alignment horizontal="right"/>
    </xf>
    <xf numFmtId="0" fontId="7" fillId="0" borderId="0" xfId="3" applyFont="1"/>
    <xf numFmtId="0" fontId="2" fillId="0" borderId="0" xfId="3"/>
    <xf numFmtId="0" fontId="7" fillId="0" borderId="5" xfId="0" applyFont="1" applyBorder="1"/>
    <xf numFmtId="0" fontId="6" fillId="0" borderId="5" xfId="3" applyFont="1" applyBorder="1" applyAlignment="1">
      <alignment horizontal="right"/>
    </xf>
    <xf numFmtId="0" fontId="7" fillId="3" borderId="5" xfId="0" applyFont="1" applyFill="1" applyBorder="1" applyProtection="1">
      <protection locked="0"/>
    </xf>
    <xf numFmtId="0" fontId="7" fillId="0" borderId="0" xfId="0" applyFont="1" applyAlignment="1">
      <alignment horizontal="left"/>
    </xf>
    <xf numFmtId="0" fontId="6" fillId="0" borderId="0" xfId="0" applyFont="1" applyAlignment="1">
      <alignment horizontal="right"/>
    </xf>
    <xf numFmtId="49" fontId="6" fillId="0" borderId="0" xfId="0" applyNumberFormat="1" applyFont="1"/>
    <xf numFmtId="0" fontId="7" fillId="3" borderId="5" xfId="0" applyFont="1" applyFill="1" applyBorder="1" applyAlignment="1" applyProtection="1">
      <alignment horizontal="left"/>
      <protection locked="0"/>
    </xf>
    <xf numFmtId="0" fontId="6" fillId="0" borderId="0" xfId="0" applyFont="1"/>
    <xf numFmtId="0" fontId="6" fillId="3" borderId="5" xfId="0" applyFont="1" applyFill="1" applyBorder="1"/>
    <xf numFmtId="14" fontId="8" fillId="0" borderId="0" xfId="0" applyNumberFormat="1" applyFont="1"/>
    <xf numFmtId="0" fontId="6" fillId="3" borderId="5" xfId="0" applyFont="1" applyFill="1" applyBorder="1" applyAlignment="1" applyProtection="1">
      <alignment horizontal="left"/>
      <protection locked="0"/>
    </xf>
    <xf numFmtId="14" fontId="6" fillId="3" borderId="5" xfId="0" applyNumberFormat="1" applyFont="1" applyFill="1" applyBorder="1" applyAlignment="1" applyProtection="1">
      <alignment horizontal="center"/>
      <protection locked="0"/>
    </xf>
    <xf numFmtId="14" fontId="9" fillId="0" borderId="0" xfId="0" applyNumberFormat="1" applyFont="1" applyAlignment="1">
      <alignment horizontal="right"/>
    </xf>
    <xf numFmtId="14" fontId="6" fillId="0" borderId="0" xfId="0" applyNumberFormat="1" applyFont="1" applyAlignment="1" applyProtection="1">
      <alignment horizontal="center"/>
      <protection locked="0"/>
    </xf>
    <xf numFmtId="49" fontId="8" fillId="0" borderId="0" xfId="0" applyNumberFormat="1" applyFont="1"/>
    <xf numFmtId="49" fontId="6" fillId="3" borderId="2" xfId="0" applyNumberFormat="1" applyFont="1" applyFill="1" applyBorder="1" applyAlignment="1" applyProtection="1">
      <alignment wrapText="1"/>
      <protection locked="0"/>
    </xf>
    <xf numFmtId="49" fontId="6" fillId="3" borderId="2" xfId="0" applyNumberFormat="1" applyFont="1" applyFill="1" applyBorder="1" applyAlignment="1" applyProtection="1">
      <alignment horizontal="center"/>
      <protection locked="0"/>
    </xf>
    <xf numFmtId="0" fontId="7" fillId="0" borderId="0" xfId="0" applyFont="1" applyAlignment="1">
      <alignment horizontal="right"/>
    </xf>
    <xf numFmtId="0" fontId="7" fillId="0" borderId="0" xfId="0" applyFont="1" applyAlignment="1">
      <alignment horizontal="center"/>
    </xf>
    <xf numFmtId="164" fontId="6" fillId="3" borderId="5" xfId="3" applyNumberFormat="1" applyFont="1" applyFill="1" applyBorder="1" applyAlignment="1" applyProtection="1">
      <alignment horizontal="center" vertical="center"/>
      <protection locked="0"/>
    </xf>
    <xf numFmtId="165" fontId="10" fillId="0" borderId="0" xfId="3" applyNumberFormat="1" applyFont="1" applyAlignment="1">
      <alignment horizontal="center"/>
    </xf>
    <xf numFmtId="165" fontId="2" fillId="0" borderId="0" xfId="3" applyNumberFormat="1" applyAlignment="1">
      <alignment vertical="center"/>
    </xf>
    <xf numFmtId="0" fontId="7" fillId="3" borderId="7" xfId="0" applyFont="1" applyFill="1" applyBorder="1" applyAlignment="1" applyProtection="1">
      <alignment horizontal="center"/>
      <protection locked="0"/>
    </xf>
    <xf numFmtId="0" fontId="6" fillId="3" borderId="2" xfId="0" applyFont="1" applyFill="1" applyBorder="1" applyAlignment="1" applyProtection="1">
      <alignment horizontal="center"/>
      <protection locked="0"/>
    </xf>
    <xf numFmtId="0" fontId="6" fillId="0" borderId="8" xfId="0" applyFont="1" applyBorder="1" applyAlignment="1">
      <alignment horizontal="center"/>
    </xf>
    <xf numFmtId="0" fontId="7" fillId="0" borderId="8" xfId="0" applyFont="1" applyBorder="1" applyAlignment="1">
      <alignment horizontal="left"/>
    </xf>
    <xf numFmtId="0" fontId="7" fillId="0" borderId="8" xfId="0" applyFont="1" applyBorder="1"/>
    <xf numFmtId="0" fontId="11" fillId="0" borderId="8" xfId="0" applyFont="1" applyBorder="1"/>
    <xf numFmtId="0" fontId="6" fillId="0" borderId="8" xfId="0" applyFont="1" applyBorder="1" applyAlignment="1">
      <alignment horizontal="right"/>
    </xf>
    <xf numFmtId="0" fontId="12" fillId="0" borderId="0" xfId="0" applyFont="1" applyAlignment="1">
      <alignment horizontal="left" wrapText="1"/>
    </xf>
    <xf numFmtId="0" fontId="12" fillId="0" borderId="0" xfId="0" applyFont="1" applyAlignment="1">
      <alignment horizontal="center" wrapText="1"/>
    </xf>
    <xf numFmtId="0" fontId="12" fillId="0" borderId="0" xfId="0" applyFont="1"/>
    <xf numFmtId="0" fontId="7" fillId="0" borderId="9" xfId="0" applyFont="1" applyBorder="1" applyAlignment="1">
      <alignment horizontal="left" vertical="top"/>
    </xf>
    <xf numFmtId="0" fontId="7" fillId="3" borderId="10" xfId="0" applyFont="1" applyFill="1" applyBorder="1" applyAlignment="1" applyProtection="1">
      <alignment horizontal="center" vertical="top"/>
      <protection locked="0"/>
    </xf>
    <xf numFmtId="0" fontId="7" fillId="3" borderId="10" xfId="0" applyFont="1" applyFill="1" applyBorder="1" applyAlignment="1" applyProtection="1">
      <alignment vertical="top"/>
      <protection locked="0"/>
    </xf>
    <xf numFmtId="0" fontId="7" fillId="3" borderId="10" xfId="0" applyFont="1" applyFill="1" applyBorder="1" applyAlignment="1" applyProtection="1">
      <alignment horizontal="left" vertical="top"/>
      <protection locked="0"/>
    </xf>
    <xf numFmtId="0" fontId="7" fillId="3" borderId="11" xfId="0" applyFont="1" applyFill="1" applyBorder="1" applyAlignment="1" applyProtection="1">
      <alignment vertical="top"/>
      <protection locked="0"/>
    </xf>
    <xf numFmtId="0" fontId="7" fillId="0" borderId="13" xfId="0" applyFont="1" applyBorder="1" applyAlignment="1">
      <alignment horizontal="left" vertical="top"/>
    </xf>
    <xf numFmtId="0" fontId="7" fillId="3" borderId="14" xfId="0" applyFont="1" applyFill="1" applyBorder="1" applyAlignment="1" applyProtection="1">
      <alignment horizontal="center" vertical="top"/>
      <protection locked="0"/>
    </xf>
    <xf numFmtId="0" fontId="7" fillId="3" borderId="14" xfId="0" applyFont="1" applyFill="1" applyBorder="1" applyAlignment="1" applyProtection="1">
      <alignment vertical="top"/>
      <protection locked="0"/>
    </xf>
    <xf numFmtId="0" fontId="7" fillId="3" borderId="14" xfId="0" applyFont="1" applyFill="1" applyBorder="1" applyAlignment="1" applyProtection="1">
      <alignment horizontal="left" vertical="top"/>
      <protection locked="0"/>
    </xf>
    <xf numFmtId="0" fontId="7" fillId="3" borderId="15" xfId="0" applyFont="1" applyFill="1" applyBorder="1" applyAlignment="1" applyProtection="1">
      <alignment vertical="top"/>
      <protection locked="0"/>
    </xf>
    <xf numFmtId="0" fontId="7" fillId="0" borderId="5" xfId="0" applyFont="1" applyBorder="1" applyAlignment="1">
      <alignment horizontal="right"/>
    </xf>
    <xf numFmtId="0" fontId="7" fillId="0" borderId="5" xfId="0" applyFont="1" applyBorder="1" applyAlignment="1">
      <alignment horizontal="center"/>
    </xf>
    <xf numFmtId="0" fontId="6" fillId="0" borderId="5" xfId="0" applyFont="1" applyBorder="1" applyAlignment="1">
      <alignment horizontal="center"/>
    </xf>
    <xf numFmtId="0" fontId="7" fillId="0" borderId="16" xfId="0" applyFont="1" applyBorder="1"/>
    <xf numFmtId="44" fontId="6" fillId="0" borderId="17" xfId="0" applyNumberFormat="1" applyFont="1" applyBorder="1"/>
    <xf numFmtId="0" fontId="7" fillId="0" borderId="19" xfId="0" applyFont="1" applyBorder="1" applyAlignment="1">
      <alignment horizontal="right"/>
    </xf>
    <xf numFmtId="0" fontId="7" fillId="3" borderId="5" xfId="0" applyFont="1" applyFill="1" applyBorder="1" applyAlignment="1" applyProtection="1">
      <alignment horizontal="center"/>
      <protection locked="0"/>
    </xf>
    <xf numFmtId="166" fontId="7" fillId="3" borderId="20" xfId="0" applyNumberFormat="1" applyFont="1" applyFill="1" applyBorder="1" applyProtection="1">
      <protection locked="0"/>
    </xf>
    <xf numFmtId="44" fontId="7" fillId="0" borderId="21" xfId="0" applyNumberFormat="1" applyFont="1" applyBorder="1"/>
    <xf numFmtId="0" fontId="7" fillId="0" borderId="22" xfId="0" applyFont="1" applyBorder="1" applyAlignment="1">
      <alignment horizontal="right"/>
    </xf>
    <xf numFmtId="0" fontId="4" fillId="0" borderId="12" xfId="0" applyFont="1" applyBorder="1"/>
    <xf numFmtId="0" fontId="7" fillId="0" borderId="12" xfId="0" applyFont="1" applyBorder="1" applyAlignment="1">
      <alignment horizontal="right"/>
    </xf>
    <xf numFmtId="0" fontId="7" fillId="3" borderId="23" xfId="0" applyFont="1" applyFill="1" applyBorder="1" applyAlignment="1" applyProtection="1">
      <alignment horizontal="center"/>
      <protection locked="0"/>
    </xf>
    <xf numFmtId="166" fontId="7" fillId="3" borderId="10" xfId="0" applyNumberFormat="1" applyFont="1" applyFill="1" applyBorder="1" applyProtection="1">
      <protection locked="0"/>
    </xf>
    <xf numFmtId="44" fontId="7" fillId="0" borderId="24" xfId="0" applyNumberFormat="1" applyFont="1" applyBorder="1"/>
    <xf numFmtId="0" fontId="7" fillId="0" borderId="19" xfId="0" applyFont="1" applyBorder="1"/>
    <xf numFmtId="44" fontId="6" fillId="0" borderId="20" xfId="0" applyNumberFormat="1" applyFont="1" applyBorder="1"/>
    <xf numFmtId="44" fontId="7" fillId="0" borderId="20" xfId="0" applyNumberFormat="1" applyFont="1" applyBorder="1"/>
    <xf numFmtId="0" fontId="7" fillId="0" borderId="19" xfId="0" applyFont="1" applyBorder="1" applyAlignment="1">
      <alignment horizontal="left" vertical="top"/>
    </xf>
    <xf numFmtId="44" fontId="6" fillId="3" borderId="20" xfId="0" applyNumberFormat="1" applyFont="1" applyFill="1" applyBorder="1" applyProtection="1">
      <protection locked="0"/>
    </xf>
    <xf numFmtId="167" fontId="7" fillId="0" borderId="12" xfId="2" applyNumberFormat="1" applyFont="1" applyFill="1" applyBorder="1" applyAlignment="1" applyProtection="1">
      <alignment horizontal="right"/>
    </xf>
    <xf numFmtId="0" fontId="7" fillId="0" borderId="12" xfId="0" applyFont="1" applyBorder="1" applyAlignment="1">
      <alignment horizontal="center"/>
    </xf>
    <xf numFmtId="44" fontId="6" fillId="3" borderId="10" xfId="0" applyNumberFormat="1" applyFont="1" applyFill="1" applyBorder="1" applyProtection="1">
      <protection locked="0"/>
    </xf>
    <xf numFmtId="44" fontId="7" fillId="3" borderId="20" xfId="0" applyNumberFormat="1" applyFont="1" applyFill="1" applyBorder="1" applyProtection="1">
      <protection locked="0"/>
    </xf>
    <xf numFmtId="0" fontId="7" fillId="3" borderId="4" xfId="0" applyFont="1" applyFill="1" applyBorder="1" applyProtection="1">
      <protection locked="0"/>
    </xf>
    <xf numFmtId="0" fontId="4" fillId="0" borderId="5" xfId="0" applyFont="1" applyBorder="1"/>
    <xf numFmtId="44" fontId="7" fillId="3" borderId="25" xfId="0" applyNumberFormat="1" applyFont="1" applyFill="1" applyBorder="1" applyProtection="1">
      <protection locked="0"/>
    </xf>
    <xf numFmtId="44" fontId="6" fillId="0" borderId="0" xfId="0" applyNumberFormat="1" applyFont="1"/>
    <xf numFmtId="44" fontId="6" fillId="0" borderId="26" xfId="0" applyNumberFormat="1" applyFont="1" applyBorder="1"/>
    <xf numFmtId="0" fontId="4" fillId="0" borderId="0" xfId="0" applyFont="1" applyAlignment="1">
      <alignment horizontal="right"/>
    </xf>
    <xf numFmtId="0" fontId="3" fillId="0" borderId="0" xfId="0" applyFont="1"/>
    <xf numFmtId="44" fontId="3" fillId="0" borderId="27" xfId="0" applyNumberFormat="1" applyFont="1" applyBorder="1"/>
    <xf numFmtId="10" fontId="7" fillId="0" borderId="0" xfId="2" applyNumberFormat="1" applyFont="1" applyBorder="1" applyAlignment="1" applyProtection="1">
      <alignment horizontal="center"/>
    </xf>
    <xf numFmtId="0" fontId="12" fillId="0" borderId="0" xfId="0" applyFont="1" applyAlignment="1">
      <alignment horizontal="center"/>
    </xf>
    <xf numFmtId="44" fontId="4" fillId="0" borderId="0" xfId="0" applyNumberFormat="1" applyFont="1"/>
    <xf numFmtId="44" fontId="7" fillId="3" borderId="14" xfId="1" applyFont="1" applyFill="1" applyBorder="1" applyAlignment="1" applyProtection="1">
      <alignment horizontal="center"/>
      <protection locked="0"/>
    </xf>
    <xf numFmtId="44" fontId="7" fillId="0" borderId="28" xfId="0" applyNumberFormat="1" applyFont="1" applyBorder="1"/>
    <xf numFmtId="44" fontId="14" fillId="3" borderId="14" xfId="1" applyFont="1" applyFill="1" applyBorder="1" applyAlignment="1" applyProtection="1">
      <alignment horizontal="center"/>
      <protection locked="0"/>
    </xf>
    <xf numFmtId="44" fontId="14" fillId="0" borderId="14" xfId="1" applyFont="1" applyFill="1" applyBorder="1" applyAlignment="1" applyProtection="1">
      <alignment horizontal="center"/>
    </xf>
    <xf numFmtId="14" fontId="4" fillId="3" borderId="0" xfId="0" applyNumberFormat="1" applyFont="1" applyFill="1" applyProtection="1">
      <protection locked="0"/>
    </xf>
    <xf numFmtId="0" fontId="5" fillId="0" borderId="0" xfId="0" applyFont="1" applyAlignment="1">
      <alignment horizontal="left"/>
    </xf>
    <xf numFmtId="0" fontId="6" fillId="0" borderId="0" xfId="0" applyFont="1" applyAlignment="1">
      <alignment horizontal="left"/>
    </xf>
    <xf numFmtId="0" fontId="16" fillId="0" borderId="2" xfId="0" applyFont="1" applyBorder="1"/>
    <xf numFmtId="0" fontId="19" fillId="2" borderId="30" xfId="5" applyFont="1" applyFill="1" applyBorder="1" applyAlignment="1">
      <alignment horizontal="center" vertical="center"/>
    </xf>
    <xf numFmtId="0" fontId="19" fillId="2" borderId="31" xfId="5" applyFont="1" applyFill="1" applyBorder="1" applyAlignment="1">
      <alignment horizontal="center" vertical="center"/>
    </xf>
    <xf numFmtId="0" fontId="19" fillId="2" borderId="30" xfId="5" applyFont="1" applyFill="1" applyBorder="1" applyAlignment="1">
      <alignment horizontal="center" vertical="center" wrapText="1"/>
    </xf>
    <xf numFmtId="0" fontId="19" fillId="2" borderId="31" xfId="5" applyFont="1" applyFill="1" applyBorder="1" applyAlignment="1">
      <alignment horizontal="center" vertical="center" wrapText="1"/>
    </xf>
    <xf numFmtId="0" fontId="19" fillId="2" borderId="32" xfId="5" applyFont="1" applyFill="1" applyBorder="1" applyAlignment="1">
      <alignment horizontal="center" vertical="center"/>
    </xf>
    <xf numFmtId="0" fontId="21" fillId="0" borderId="0" xfId="5" applyFont="1"/>
    <xf numFmtId="0" fontId="21" fillId="0" borderId="0" xfId="5" applyFont="1" applyAlignment="1">
      <alignment horizontal="center" vertical="center"/>
    </xf>
    <xf numFmtId="0" fontId="21" fillId="0" borderId="34" xfId="5" applyFont="1" applyBorder="1"/>
    <xf numFmtId="0" fontId="21" fillId="0" borderId="36" xfId="5" applyFont="1" applyBorder="1" applyAlignment="1">
      <alignment horizontal="center" vertical="center"/>
    </xf>
    <xf numFmtId="0" fontId="21" fillId="0" borderId="37" xfId="5" applyFont="1" applyBorder="1"/>
    <xf numFmtId="0" fontId="19" fillId="0" borderId="0" xfId="5" applyFont="1"/>
    <xf numFmtId="0" fontId="19" fillId="2" borderId="30" xfId="6" applyFont="1" applyFill="1" applyBorder="1" applyAlignment="1">
      <alignment horizontal="center" vertical="center"/>
    </xf>
    <xf numFmtId="0" fontId="19" fillId="2" borderId="39" xfId="6" applyFont="1" applyFill="1" applyBorder="1" applyAlignment="1">
      <alignment horizontal="center" vertical="center"/>
    </xf>
    <xf numFmtId="0" fontId="19" fillId="2" borderId="39" xfId="6" applyFont="1" applyFill="1" applyBorder="1" applyAlignment="1">
      <alignment horizontal="center" vertical="center" wrapText="1"/>
    </xf>
    <xf numFmtId="0" fontId="19" fillId="2" borderId="31" xfId="6" applyFont="1" applyFill="1" applyBorder="1" applyAlignment="1">
      <alignment horizontal="center" vertical="center"/>
    </xf>
    <xf numFmtId="0" fontId="19" fillId="2" borderId="31" xfId="6" applyFont="1" applyFill="1" applyBorder="1" applyAlignment="1">
      <alignment horizontal="center" vertical="center" wrapText="1"/>
    </xf>
    <xf numFmtId="0" fontId="19" fillId="2" borderId="40" xfId="6" applyFont="1" applyFill="1" applyBorder="1" applyAlignment="1">
      <alignment horizontal="center" vertical="center" wrapText="1"/>
    </xf>
    <xf numFmtId="0" fontId="19" fillId="2" borderId="32" xfId="6" applyFont="1" applyFill="1" applyBorder="1" applyAlignment="1">
      <alignment horizontal="center" vertical="center"/>
    </xf>
    <xf numFmtId="0" fontId="21" fillId="0" borderId="0" xfId="6" applyFont="1"/>
    <xf numFmtId="0" fontId="21" fillId="0" borderId="0" xfId="6" applyFont="1" applyAlignment="1">
      <alignment horizontal="center" vertical="center"/>
    </xf>
    <xf numFmtId="0" fontId="21" fillId="0" borderId="34" xfId="6" applyFont="1" applyBorder="1"/>
    <xf numFmtId="169" fontId="25" fillId="4" borderId="42" xfId="4" applyNumberFormat="1" applyFont="1" applyBorder="1" applyAlignment="1">
      <alignment horizontal="center" wrapText="1"/>
    </xf>
    <xf numFmtId="169" fontId="25" fillId="4" borderId="43" xfId="4" applyNumberFormat="1" applyFont="1" applyBorder="1" applyAlignment="1">
      <alignment horizontal="center" wrapText="1"/>
    </xf>
    <xf numFmtId="170" fontId="25" fillId="5" borderId="43" xfId="4" applyNumberFormat="1" applyFont="1" applyFill="1" applyBorder="1" applyAlignment="1">
      <alignment horizontal="center" wrapText="1"/>
    </xf>
    <xf numFmtId="0" fontId="25" fillId="4" borderId="43" xfId="4" applyFont="1" applyBorder="1" applyAlignment="1">
      <alignment horizontal="center" wrapText="1"/>
    </xf>
    <xf numFmtId="170" fontId="25" fillId="4" borderId="43" xfId="4" applyNumberFormat="1" applyFont="1" applyBorder="1" applyAlignment="1">
      <alignment horizontal="center" wrapText="1"/>
    </xf>
    <xf numFmtId="166" fontId="25" fillId="6" borderId="43" xfId="6" applyNumberFormat="1" applyFont="1" applyFill="1" applyBorder="1" applyAlignment="1">
      <alignment horizontal="left"/>
    </xf>
    <xf numFmtId="0" fontId="26" fillId="6" borderId="44" xfId="6" applyFont="1" applyFill="1" applyBorder="1" applyAlignment="1">
      <alignment horizontal="center"/>
    </xf>
    <xf numFmtId="0" fontId="27" fillId="0" borderId="0" xfId="6" applyFont="1"/>
    <xf numFmtId="0" fontId="28" fillId="0" borderId="5" xfId="7" applyBorder="1"/>
    <xf numFmtId="0" fontId="6" fillId="3" borderId="0" xfId="0" applyFont="1" applyFill="1"/>
    <xf numFmtId="0" fontId="8" fillId="0" borderId="7" xfId="0" applyFont="1" applyBorder="1" applyAlignment="1">
      <alignment horizontal="center" vertical="center"/>
    </xf>
    <xf numFmtId="0" fontId="8" fillId="0" borderId="7" xfId="0" applyFont="1" applyBorder="1" applyAlignment="1">
      <alignment horizontal="center" vertical="center" wrapText="1"/>
    </xf>
    <xf numFmtId="0" fontId="8" fillId="0" borderId="33" xfId="0" applyFont="1" applyBorder="1" applyAlignment="1">
      <alignment horizontal="center" vertical="center"/>
    </xf>
    <xf numFmtId="0" fontId="8" fillId="0" borderId="34" xfId="0" applyFont="1" applyBorder="1" applyAlignment="1">
      <alignment horizontal="center" vertical="center" wrapText="1"/>
    </xf>
    <xf numFmtId="14" fontId="0" fillId="0" borderId="33" xfId="0" applyNumberFormat="1" applyBorder="1" applyAlignment="1">
      <alignment horizontal="center" vertical="center"/>
    </xf>
    <xf numFmtId="0" fontId="0" fillId="0" borderId="34" xfId="0" applyBorder="1" applyAlignment="1">
      <alignment horizontal="center" vertical="center"/>
    </xf>
    <xf numFmtId="169" fontId="24" fillId="0" borderId="8" xfId="0" applyNumberFormat="1" applyFont="1" applyBorder="1" applyAlignment="1">
      <alignment horizontal="left"/>
    </xf>
    <xf numFmtId="0" fontId="9" fillId="0" borderId="0" xfId="0" applyFont="1"/>
    <xf numFmtId="43" fontId="0" fillId="0" borderId="0" xfId="0" applyNumberFormat="1"/>
    <xf numFmtId="43" fontId="0" fillId="0" borderId="7" xfId="11" applyFont="1" applyFill="1" applyBorder="1"/>
    <xf numFmtId="0" fontId="0" fillId="0" borderId="7" xfId="0" applyBorder="1"/>
    <xf numFmtId="0" fontId="29" fillId="0" borderId="7" xfId="5" applyFont="1" applyBorder="1" applyAlignment="1">
      <alignment horizontal="center" vertical="center"/>
    </xf>
    <xf numFmtId="0" fontId="0" fillId="0" borderId="0" xfId="0" pivotButton="1"/>
    <xf numFmtId="0" fontId="0" fillId="0" borderId="0" xfId="0" applyAlignment="1">
      <alignment horizontal="left"/>
    </xf>
    <xf numFmtId="0" fontId="8" fillId="0" borderId="0" xfId="0" applyFont="1" applyAlignment="1">
      <alignment horizontal="center" vertical="center"/>
    </xf>
    <xf numFmtId="43" fontId="0" fillId="0" borderId="31" xfId="11" applyFont="1" applyBorder="1"/>
    <xf numFmtId="43" fontId="8" fillId="0" borderId="7" xfId="11" applyFont="1" applyBorder="1" applyAlignment="1">
      <alignment horizontal="center" vertical="center"/>
    </xf>
    <xf numFmtId="43" fontId="8" fillId="0" borderId="7" xfId="11" applyFont="1" applyBorder="1" applyAlignment="1">
      <alignment horizontal="center" vertical="center" wrapText="1"/>
    </xf>
    <xf numFmtId="43" fontId="0" fillId="0" borderId="7" xfId="11" applyFont="1" applyBorder="1" applyAlignment="1">
      <alignment horizontal="center" vertical="center"/>
    </xf>
    <xf numFmtId="43" fontId="0" fillId="0" borderId="0" xfId="11" applyFont="1"/>
    <xf numFmtId="170" fontId="21" fillId="0" borderId="7" xfId="6" applyNumberFormat="1" applyFont="1" applyBorder="1" applyAlignment="1">
      <alignment horizontal="center"/>
    </xf>
    <xf numFmtId="0" fontId="21" fillId="0" borderId="0" xfId="6" applyFont="1" applyAlignment="1">
      <alignment horizontal="center"/>
    </xf>
    <xf numFmtId="0" fontId="19" fillId="0" borderId="45" xfId="6" applyFont="1" applyBorder="1" applyAlignment="1">
      <alignment horizontal="right"/>
    </xf>
    <xf numFmtId="43" fontId="31" fillId="0" borderId="34" xfId="0" applyNumberFormat="1" applyFont="1" applyBorder="1"/>
    <xf numFmtId="43" fontId="0" fillId="0" borderId="34" xfId="0" applyNumberFormat="1" applyBorder="1"/>
    <xf numFmtId="43" fontId="0" fillId="0" borderId="36" xfId="11" applyFont="1" applyFill="1" applyBorder="1"/>
    <xf numFmtId="43" fontId="0" fillId="0" borderId="37" xfId="0" applyNumberFormat="1" applyBorder="1"/>
    <xf numFmtId="43" fontId="32" fillId="0" borderId="34" xfId="0" applyNumberFormat="1" applyFont="1" applyBorder="1"/>
    <xf numFmtId="0" fontId="0" fillId="0" borderId="34" xfId="0" applyBorder="1"/>
    <xf numFmtId="0" fontId="0" fillId="0" borderId="36" xfId="0" applyBorder="1"/>
    <xf numFmtId="0" fontId="0" fillId="0" borderId="37" xfId="0" applyBorder="1"/>
    <xf numFmtId="10" fontId="7" fillId="3" borderId="5" xfId="2" applyNumberFormat="1" applyFont="1" applyFill="1" applyBorder="1" applyAlignment="1" applyProtection="1">
      <alignment horizontal="center"/>
      <protection locked="0"/>
    </xf>
    <xf numFmtId="171" fontId="7" fillId="0" borderId="0" xfId="2" applyNumberFormat="1" applyFont="1" applyFill="1" applyBorder="1" applyAlignment="1" applyProtection="1">
      <alignment horizontal="right"/>
    </xf>
    <xf numFmtId="10" fontId="7" fillId="0" borderId="0" xfId="2" applyNumberFormat="1" applyFont="1"/>
    <xf numFmtId="169" fontId="22" fillId="0" borderId="8" xfId="6" applyNumberFormat="1" applyFont="1" applyBorder="1" applyAlignment="1">
      <alignment horizontal="left"/>
    </xf>
    <xf numFmtId="0" fontId="33" fillId="0" borderId="7" xfId="6" applyFont="1" applyBorder="1" applyAlignment="1">
      <alignment horizontal="center"/>
    </xf>
    <xf numFmtId="0" fontId="0" fillId="9" borderId="33" xfId="0" applyFill="1" applyBorder="1" applyAlignment="1">
      <alignment horizontal="left" vertical="center"/>
    </xf>
    <xf numFmtId="0" fontId="0" fillId="9" borderId="7" xfId="0" applyFill="1" applyBorder="1"/>
    <xf numFmtId="43" fontId="0" fillId="9" borderId="7" xfId="11" applyFont="1" applyFill="1" applyBorder="1"/>
    <xf numFmtId="0" fontId="0" fillId="9" borderId="33" xfId="0" applyFill="1" applyBorder="1"/>
    <xf numFmtId="0" fontId="0" fillId="9" borderId="35" xfId="0" applyFill="1" applyBorder="1"/>
    <xf numFmtId="0" fontId="0" fillId="9" borderId="36" xfId="0" applyFill="1" applyBorder="1"/>
    <xf numFmtId="0" fontId="0" fillId="9" borderId="0" xfId="0" applyFill="1"/>
    <xf numFmtId="43" fontId="0" fillId="9" borderId="0" xfId="11" applyFont="1" applyFill="1"/>
    <xf numFmtId="0" fontId="8" fillId="9" borderId="57" xfId="0" applyFont="1" applyFill="1" applyBorder="1" applyAlignment="1">
      <alignment wrapText="1"/>
    </xf>
    <xf numFmtId="0" fontId="8" fillId="9" borderId="56" xfId="0" applyFont="1" applyFill="1" applyBorder="1" applyAlignment="1">
      <alignment wrapText="1"/>
    </xf>
    <xf numFmtId="0" fontId="8" fillId="0" borderId="56" xfId="0" applyFont="1" applyBorder="1" applyAlignment="1">
      <alignment wrapText="1"/>
    </xf>
    <xf numFmtId="0" fontId="9" fillId="0" borderId="58" xfId="0" applyFont="1" applyBorder="1" applyAlignment="1">
      <alignment wrapText="1"/>
    </xf>
    <xf numFmtId="0" fontId="9" fillId="0" borderId="59" xfId="0" applyFont="1" applyBorder="1"/>
    <xf numFmtId="0" fontId="9" fillId="0" borderId="60" xfId="0" applyFont="1" applyBorder="1" applyAlignment="1">
      <alignment wrapText="1"/>
    </xf>
    <xf numFmtId="10" fontId="9" fillId="9" borderId="60" xfId="2" applyNumberFormat="1" applyFont="1" applyFill="1" applyBorder="1"/>
    <xf numFmtId="0" fontId="0" fillId="0" borderId="61" xfId="0" applyBorder="1"/>
    <xf numFmtId="0" fontId="30" fillId="0" borderId="58" xfId="0" applyFont="1" applyBorder="1" applyAlignment="1">
      <alignment wrapText="1"/>
    </xf>
    <xf numFmtId="0" fontId="30" fillId="0" borderId="59" xfId="0" applyFont="1" applyBorder="1"/>
    <xf numFmtId="0" fontId="30" fillId="0" borderId="60" xfId="0" applyFont="1" applyBorder="1" applyAlignment="1">
      <alignment wrapText="1"/>
    </xf>
    <xf numFmtId="10" fontId="30" fillId="9" borderId="60" xfId="2" applyNumberFormat="1" applyFont="1" applyFill="1" applyBorder="1"/>
    <xf numFmtId="0" fontId="34" fillId="0" borderId="0" xfId="6" applyFont="1"/>
    <xf numFmtId="0" fontId="34" fillId="0" borderId="0" xfId="6" applyFont="1" applyAlignment="1">
      <alignment horizontal="center" vertical="center"/>
    </xf>
    <xf numFmtId="0" fontId="29" fillId="9" borderId="33" xfId="5" applyFont="1" applyFill="1" applyBorder="1" applyAlignment="1">
      <alignment horizontal="center" vertical="center"/>
    </xf>
    <xf numFmtId="0" fontId="29" fillId="9" borderId="7" xfId="5" applyFont="1" applyFill="1" applyBorder="1" applyAlignment="1">
      <alignment horizontal="center" vertical="center"/>
    </xf>
    <xf numFmtId="0" fontId="21" fillId="9" borderId="7" xfId="5" applyFont="1" applyFill="1" applyBorder="1" applyAlignment="1">
      <alignment horizontal="center" vertical="center"/>
    </xf>
    <xf numFmtId="0" fontId="21" fillId="9" borderId="33" xfId="5" applyFont="1" applyFill="1" applyBorder="1" applyAlignment="1">
      <alignment horizontal="center" vertical="center"/>
    </xf>
    <xf numFmtId="0" fontId="21" fillId="9" borderId="35" xfId="5" applyFont="1" applyFill="1" applyBorder="1" applyAlignment="1">
      <alignment horizontal="center" vertical="center"/>
    </xf>
    <xf numFmtId="0" fontId="21" fillId="9" borderId="36" xfId="5" applyFont="1" applyFill="1" applyBorder="1" applyAlignment="1">
      <alignment horizontal="center" vertical="center"/>
    </xf>
    <xf numFmtId="0" fontId="32" fillId="0" borderId="0" xfId="0" applyFont="1"/>
    <xf numFmtId="0" fontId="32" fillId="9" borderId="0" xfId="0" applyFont="1" applyFill="1"/>
    <xf numFmtId="10" fontId="21" fillId="0" borderId="1" xfId="2" applyNumberFormat="1" applyFont="1" applyFill="1" applyBorder="1" applyAlignment="1">
      <alignment horizontal="center" vertical="center"/>
    </xf>
    <xf numFmtId="43" fontId="29" fillId="0" borderId="7" xfId="11" applyFont="1" applyBorder="1" applyAlignment="1">
      <alignment horizontal="center" vertical="center"/>
    </xf>
    <xf numFmtId="43" fontId="21" fillId="0" borderId="7" xfId="11" applyFont="1" applyBorder="1" applyAlignment="1">
      <alignment horizontal="center" vertical="center"/>
    </xf>
    <xf numFmtId="43" fontId="21" fillId="0" borderId="36" xfId="11" applyFont="1" applyBorder="1" applyAlignment="1">
      <alignment horizontal="center" vertical="center"/>
    </xf>
    <xf numFmtId="43" fontId="21" fillId="0" borderId="0" xfId="11" applyFont="1"/>
    <xf numFmtId="43" fontId="21" fillId="0" borderId="38" xfId="11" applyFont="1" applyBorder="1" applyAlignment="1">
      <alignment horizontal="center" vertical="center"/>
    </xf>
    <xf numFmtId="43" fontId="21" fillId="0" borderId="1" xfId="11" applyFont="1" applyBorder="1" applyAlignment="1">
      <alignment horizontal="center" vertical="center"/>
    </xf>
    <xf numFmtId="43" fontId="21" fillId="0" borderId="7" xfId="11" applyFont="1" applyBorder="1" applyAlignment="1">
      <alignment horizontal="center"/>
    </xf>
    <xf numFmtId="43" fontId="19" fillId="0" borderId="46" xfId="11" applyFont="1" applyBorder="1" applyAlignment="1">
      <alignment horizontal="left" vertical="center"/>
    </xf>
    <xf numFmtId="43" fontId="32" fillId="0" borderId="34" xfId="11" applyFont="1" applyBorder="1"/>
    <xf numFmtId="43" fontId="31" fillId="0" borderId="34" xfId="11" applyFont="1" applyBorder="1"/>
    <xf numFmtId="43" fontId="32" fillId="0" borderId="0" xfId="0" applyNumberFormat="1" applyFont="1"/>
    <xf numFmtId="0" fontId="32" fillId="0" borderId="0" xfId="0" applyFont="1" applyAlignment="1">
      <alignment horizontal="left"/>
    </xf>
    <xf numFmtId="43" fontId="29" fillId="9" borderId="7" xfId="11" applyFont="1" applyFill="1" applyBorder="1" applyAlignment="1">
      <alignment vertical="center"/>
    </xf>
    <xf numFmtId="43" fontId="21" fillId="9" borderId="7" xfId="11" applyFont="1" applyFill="1" applyBorder="1" applyAlignment="1">
      <alignment vertical="center"/>
    </xf>
    <xf numFmtId="43" fontId="21" fillId="9" borderId="36" xfId="11" applyFont="1" applyFill="1" applyBorder="1" applyAlignment="1">
      <alignment vertical="center"/>
    </xf>
    <xf numFmtId="43" fontId="21" fillId="0" borderId="0" xfId="11" applyFont="1" applyAlignment="1">
      <alignment vertical="center"/>
    </xf>
    <xf numFmtId="0" fontId="29" fillId="0" borderId="36" xfId="5" applyFont="1" applyBorder="1" applyAlignment="1">
      <alignment horizontal="center" vertical="center"/>
    </xf>
    <xf numFmtId="43" fontId="9" fillId="0" borderId="0" xfId="11" applyFont="1" applyFill="1" applyBorder="1" applyAlignment="1">
      <alignment horizontal="left" vertical="center"/>
    </xf>
    <xf numFmtId="0" fontId="24" fillId="0" borderId="0" xfId="0" applyFont="1"/>
    <xf numFmtId="0" fontId="34" fillId="0" borderId="0" xfId="0" applyFont="1"/>
    <xf numFmtId="44" fontId="34" fillId="0" borderId="0" xfId="1" applyFont="1"/>
    <xf numFmtId="0" fontId="21" fillId="0" borderId="0" xfId="0" applyFont="1"/>
    <xf numFmtId="44" fontId="21" fillId="0" borderId="0" xfId="1" applyFont="1"/>
    <xf numFmtId="44" fontId="21" fillId="0" borderId="38" xfId="1" applyFont="1" applyBorder="1"/>
    <xf numFmtId="43" fontId="21" fillId="0" borderId="16" xfId="11" applyFont="1" applyBorder="1" applyAlignment="1">
      <alignment horizontal="center" vertical="center"/>
    </xf>
    <xf numFmtId="10" fontId="21" fillId="0" borderId="16" xfId="2" applyNumberFormat="1" applyFont="1" applyBorder="1" applyAlignment="1">
      <alignment horizontal="center" vertical="center"/>
    </xf>
    <xf numFmtId="9" fontId="21" fillId="0" borderId="38" xfId="2" applyFont="1" applyBorder="1" applyAlignment="1">
      <alignment horizontal="center"/>
    </xf>
    <xf numFmtId="43" fontId="21" fillId="0" borderId="63" xfId="11" applyFont="1" applyBorder="1" applyAlignment="1">
      <alignment horizontal="center" vertical="center"/>
    </xf>
    <xf numFmtId="43" fontId="21" fillId="0" borderId="44" xfId="11" applyFont="1" applyBorder="1" applyAlignment="1">
      <alignment horizontal="center" vertical="center"/>
    </xf>
    <xf numFmtId="44" fontId="21" fillId="0" borderId="41" xfId="1" applyFont="1" applyBorder="1"/>
    <xf numFmtId="44" fontId="19" fillId="0" borderId="38" xfId="11" applyNumberFormat="1" applyFont="1" applyBorder="1" applyAlignment="1">
      <alignment horizontal="center" vertical="center"/>
    </xf>
    <xf numFmtId="0" fontId="21" fillId="0" borderId="7" xfId="0" applyFont="1" applyBorder="1" applyAlignment="1">
      <alignment horizontal="center" vertical="center"/>
    </xf>
    <xf numFmtId="0" fontId="0" fillId="0" borderId="0" xfId="0" applyAlignment="1">
      <alignment horizontal="left" indent="2"/>
    </xf>
    <xf numFmtId="0" fontId="32" fillId="0" borderId="0" xfId="0" applyFont="1" applyAlignment="1">
      <alignment horizontal="left" indent="1"/>
    </xf>
    <xf numFmtId="43" fontId="9" fillId="9" borderId="0" xfId="11" applyFont="1" applyFill="1" applyBorder="1" applyAlignment="1">
      <alignment wrapText="1"/>
    </xf>
    <xf numFmtId="43" fontId="35" fillId="0" borderId="0" xfId="11" applyFont="1" applyFill="1" applyBorder="1" applyAlignment="1">
      <alignment horizontal="center" vertical="center"/>
    </xf>
    <xf numFmtId="0" fontId="34" fillId="10" borderId="0" xfId="0" applyFont="1" applyFill="1"/>
    <xf numFmtId="166" fontId="6" fillId="0" borderId="17" xfId="0" applyNumberFormat="1" applyFont="1" applyBorder="1"/>
    <xf numFmtId="166" fontId="7" fillId="0" borderId="18" xfId="0" applyNumberFormat="1" applyFont="1" applyBorder="1"/>
    <xf numFmtId="2" fontId="29" fillId="0" borderId="7" xfId="5" applyNumberFormat="1" applyFont="1" applyFill="1" applyBorder="1" applyAlignment="1">
      <alignment horizontal="center" vertical="center"/>
    </xf>
    <xf numFmtId="2" fontId="21" fillId="0" borderId="36" xfId="5" applyNumberFormat="1" applyFont="1" applyFill="1" applyBorder="1" applyAlignment="1">
      <alignment horizontal="center" vertical="center"/>
    </xf>
    <xf numFmtId="0" fontId="21" fillId="9" borderId="7" xfId="6" applyFont="1" applyFill="1" applyBorder="1" applyAlignment="1">
      <alignment horizontal="center" vertical="center"/>
    </xf>
    <xf numFmtId="43" fontId="21" fillId="9" borderId="7" xfId="11" applyFont="1" applyFill="1" applyBorder="1" applyAlignment="1">
      <alignment horizontal="center" vertical="center"/>
    </xf>
    <xf numFmtId="43" fontId="21" fillId="9" borderId="62" xfId="11" applyFont="1" applyFill="1" applyBorder="1" applyAlignment="1">
      <alignment horizontal="center" vertical="center"/>
    </xf>
    <xf numFmtId="0" fontId="22" fillId="9" borderId="0" xfId="6" applyFont="1" applyFill="1" applyAlignment="1">
      <alignment wrapText="1"/>
    </xf>
    <xf numFmtId="0" fontId="9" fillId="9" borderId="0" xfId="0" applyFont="1" applyFill="1" applyAlignment="1">
      <alignment wrapText="1"/>
    </xf>
    <xf numFmtId="0" fontId="21" fillId="0" borderId="0" xfId="5" applyFont="1" applyFill="1"/>
    <xf numFmtId="0" fontId="7" fillId="3" borderId="2" xfId="0" applyFont="1" applyFill="1" applyBorder="1" applyAlignment="1" applyProtection="1">
      <alignment horizontal="center"/>
      <protection locked="0"/>
    </xf>
    <xf numFmtId="0" fontId="7" fillId="3" borderId="15" xfId="0" applyFont="1" applyFill="1" applyBorder="1" applyAlignment="1" applyProtection="1">
      <alignment horizontal="center" vertical="top" wrapText="1"/>
      <protection locked="0"/>
    </xf>
    <xf numFmtId="0" fontId="7" fillId="3" borderId="13" xfId="0" applyFont="1" applyFill="1" applyBorder="1" applyAlignment="1" applyProtection="1">
      <alignment horizontal="center" vertical="top" wrapText="1"/>
      <protection locked="0"/>
    </xf>
    <xf numFmtId="0" fontId="7" fillId="3" borderId="11" xfId="0" applyFont="1" applyFill="1" applyBorder="1" applyAlignment="1" applyProtection="1">
      <alignment horizontal="left" vertical="top" wrapText="1"/>
      <protection locked="0"/>
    </xf>
    <xf numFmtId="0" fontId="7" fillId="3" borderId="12" xfId="0" applyFont="1" applyFill="1" applyBorder="1" applyAlignment="1" applyProtection="1">
      <alignment horizontal="left" vertical="top" wrapText="1"/>
      <protection locked="0"/>
    </xf>
    <xf numFmtId="0" fontId="7" fillId="3" borderId="9" xfId="0" applyFont="1" applyFill="1" applyBorder="1" applyAlignment="1" applyProtection="1">
      <alignment horizontal="left" vertical="top" wrapText="1"/>
      <protection locked="0"/>
    </xf>
    <xf numFmtId="10" fontId="4" fillId="0" borderId="5" xfId="2" applyNumberFormat="1" applyFont="1" applyBorder="1" applyAlignment="1" applyProtection="1">
      <alignment horizontal="center"/>
    </xf>
    <xf numFmtId="169" fontId="18" fillId="0" borderId="7" xfId="0" applyNumberFormat="1" applyFont="1" applyBorder="1" applyAlignment="1">
      <alignment horizontal="center"/>
    </xf>
    <xf numFmtId="0" fontId="7" fillId="3" borderId="11" xfId="0" applyFont="1" applyFill="1" applyBorder="1" applyAlignment="1" applyProtection="1">
      <alignment horizontal="center" vertical="top" wrapText="1"/>
      <protection locked="0"/>
    </xf>
    <xf numFmtId="0" fontId="7" fillId="3" borderId="9" xfId="0" applyFont="1" applyFill="1" applyBorder="1" applyAlignment="1" applyProtection="1">
      <alignment horizontal="center" vertical="top" wrapText="1"/>
      <protection locked="0"/>
    </xf>
    <xf numFmtId="0" fontId="23" fillId="7" borderId="47" xfId="5" applyFont="1" applyFill="1" applyBorder="1" applyAlignment="1">
      <alignment horizontal="left" vertical="center" wrapText="1"/>
    </xf>
    <xf numFmtId="0" fontId="23" fillId="7" borderId="48" xfId="5" applyFont="1" applyFill="1" applyBorder="1" applyAlignment="1">
      <alignment horizontal="left" vertical="center" wrapText="1"/>
    </xf>
    <xf numFmtId="0" fontId="23" fillId="7" borderId="49" xfId="5" applyFont="1" applyFill="1" applyBorder="1" applyAlignment="1">
      <alignment horizontal="left" vertical="center" wrapText="1"/>
    </xf>
    <xf numFmtId="0" fontId="23" fillId="7" borderId="50" xfId="5" applyFont="1" applyFill="1" applyBorder="1" applyAlignment="1">
      <alignment horizontal="left" vertical="center" wrapText="1"/>
    </xf>
    <xf numFmtId="0" fontId="23" fillId="7" borderId="0" xfId="5" applyFont="1" applyFill="1" applyAlignment="1">
      <alignment horizontal="left" vertical="center" wrapText="1"/>
    </xf>
    <xf numFmtId="0" fontId="23" fillId="7" borderId="51" xfId="5" applyFont="1" applyFill="1" applyBorder="1" applyAlignment="1">
      <alignment horizontal="left" vertical="center" wrapText="1"/>
    </xf>
    <xf numFmtId="0" fontId="23" fillId="7" borderId="52" xfId="5" applyFont="1" applyFill="1" applyBorder="1" applyAlignment="1">
      <alignment horizontal="left" vertical="center" wrapText="1"/>
    </xf>
    <xf numFmtId="0" fontId="23" fillId="7" borderId="53" xfId="5" applyFont="1" applyFill="1" applyBorder="1" applyAlignment="1">
      <alignment horizontal="left" vertical="center" wrapText="1"/>
    </xf>
    <xf numFmtId="0" fontId="23" fillId="7" borderId="54" xfId="5" applyFont="1" applyFill="1" applyBorder="1" applyAlignment="1">
      <alignment horizontal="left" vertical="center" wrapText="1"/>
    </xf>
    <xf numFmtId="168" fontId="7" fillId="0" borderId="0" xfId="0" applyNumberFormat="1" applyFont="1" applyAlignment="1">
      <alignment horizontal="right"/>
    </xf>
    <xf numFmtId="0" fontId="7" fillId="0" borderId="0" xfId="0" applyFont="1" applyAlignment="1">
      <alignment horizontal="left" wrapText="1"/>
    </xf>
    <xf numFmtId="0" fontId="15" fillId="3" borderId="0" xfId="0" applyFont="1" applyFill="1" applyAlignment="1">
      <alignment horizontal="center"/>
    </xf>
    <xf numFmtId="0" fontId="13" fillId="0" borderId="19" xfId="0" applyFont="1" applyBorder="1" applyAlignment="1">
      <alignment horizontal="center" vertical="top" wrapText="1"/>
    </xf>
    <xf numFmtId="0" fontId="13" fillId="0" borderId="22" xfId="0" applyFont="1" applyBorder="1" applyAlignment="1">
      <alignment horizontal="center" vertical="top" wrapText="1"/>
    </xf>
    <xf numFmtId="0" fontId="7" fillId="3" borderId="5" xfId="0" applyFont="1" applyFill="1" applyBorder="1" applyAlignment="1" applyProtection="1">
      <alignment horizontal="center"/>
      <protection locked="0"/>
    </xf>
    <xf numFmtId="0" fontId="12" fillId="0" borderId="0" xfId="0" applyFont="1" applyAlignment="1">
      <alignment horizontal="center" wrapText="1"/>
    </xf>
    <xf numFmtId="0" fontId="12" fillId="0" borderId="0" xfId="0" applyFont="1" applyAlignment="1">
      <alignment horizontal="center"/>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5" fillId="0" borderId="1" xfId="0" applyFont="1" applyBorder="1" applyAlignment="1">
      <alignment horizontal="center" vertical="top"/>
    </xf>
    <xf numFmtId="0" fontId="3" fillId="0" borderId="2" xfId="0" applyFont="1" applyBorder="1" applyAlignment="1">
      <alignment horizontal="center" vertical="top"/>
    </xf>
    <xf numFmtId="0" fontId="3" fillId="0" borderId="3" xfId="0" applyFont="1" applyBorder="1" applyAlignment="1">
      <alignment horizontal="center" vertical="top"/>
    </xf>
    <xf numFmtId="0" fontId="5" fillId="0" borderId="4" xfId="0" applyFont="1" applyBorder="1" applyAlignment="1">
      <alignment horizontal="center" vertical="top"/>
    </xf>
    <xf numFmtId="0" fontId="3" fillId="0" borderId="5" xfId="0" applyFont="1" applyBorder="1" applyAlignment="1">
      <alignment horizontal="center" vertical="top"/>
    </xf>
    <xf numFmtId="0" fontId="3" fillId="0" borderId="6" xfId="0" applyFont="1" applyBorder="1" applyAlignment="1">
      <alignment horizontal="center" vertical="top"/>
    </xf>
    <xf numFmtId="0" fontId="5" fillId="0" borderId="5" xfId="0" applyFont="1" applyBorder="1" applyAlignment="1">
      <alignment horizontal="center" vertical="top"/>
    </xf>
    <xf numFmtId="0" fontId="7" fillId="3" borderId="0" xfId="0" applyFont="1" applyFill="1" applyAlignment="1" applyProtection="1">
      <alignment horizontal="left"/>
      <protection locked="0"/>
    </xf>
    <xf numFmtId="49" fontId="6" fillId="3" borderId="2" xfId="0" applyNumberFormat="1" applyFont="1" applyFill="1" applyBorder="1" applyAlignment="1" applyProtection="1">
      <alignment horizontal="center"/>
      <protection locked="0"/>
    </xf>
    <xf numFmtId="0" fontId="28" fillId="3" borderId="5" xfId="7" applyFill="1" applyBorder="1" applyAlignment="1" applyProtection="1">
      <alignment horizontal="left"/>
      <protection locked="0"/>
    </xf>
    <xf numFmtId="0" fontId="7" fillId="3" borderId="5" xfId="0" applyFont="1" applyFill="1" applyBorder="1" applyAlignment="1" applyProtection="1">
      <alignment horizontal="left"/>
      <protection locked="0"/>
    </xf>
    <xf numFmtId="49" fontId="6" fillId="3" borderId="5" xfId="0" applyNumberFormat="1" applyFont="1" applyFill="1" applyBorder="1" applyAlignment="1" applyProtection="1">
      <alignment horizontal="center"/>
      <protection locked="0"/>
    </xf>
    <xf numFmtId="0" fontId="8" fillId="0" borderId="30" xfId="0" applyFont="1" applyBorder="1" applyAlignment="1">
      <alignment horizontal="left" vertical="center"/>
    </xf>
    <xf numFmtId="0" fontId="8" fillId="0" borderId="31" xfId="0" applyFont="1" applyBorder="1" applyAlignment="1">
      <alignment horizontal="left" vertical="center"/>
    </xf>
    <xf numFmtId="0" fontId="8" fillId="8" borderId="31" xfId="0" applyFont="1" applyFill="1" applyBorder="1" applyAlignment="1">
      <alignment horizontal="center" vertical="center"/>
    </xf>
    <xf numFmtId="0" fontId="8" fillId="8" borderId="55" xfId="0" applyFont="1" applyFill="1" applyBorder="1" applyAlignment="1">
      <alignment horizontal="center" vertical="center"/>
    </xf>
    <xf numFmtId="0" fontId="9" fillId="0" borderId="0" xfId="0" applyFont="1"/>
    <xf numFmtId="0" fontId="24" fillId="0" borderId="0" xfId="0" applyFont="1" applyAlignment="1">
      <alignment horizontal="center"/>
    </xf>
  </cellXfs>
  <cellStyles count="12">
    <cellStyle name="Check Cell" xfId="4" builtinId="23"/>
    <cellStyle name="Comma" xfId="11" builtinId="3"/>
    <cellStyle name="Comma 2" xfId="9" xr:uid="{8ED0CF0F-8307-4B4F-BB6B-30198C578524}"/>
    <cellStyle name="Comma 3" xfId="8" xr:uid="{FC2AAE17-1CE4-43D2-8E1B-84F5D6576643}"/>
    <cellStyle name="Currency" xfId="1" builtinId="4"/>
    <cellStyle name="Hyperlink" xfId="7" builtinId="8"/>
    <cellStyle name="Normal" xfId="0" builtinId="0"/>
    <cellStyle name="Normal 2" xfId="3" xr:uid="{8D99BDEA-09C1-44B8-9E3F-C98E18F8174A}"/>
    <cellStyle name="Normal 3" xfId="5" xr:uid="{0A564F95-2CBE-4B2C-B2F0-40DE0E91845F}"/>
    <cellStyle name="Normal 4" xfId="6" xr:uid="{EB32B44D-7467-4D89-88BD-0AD8F121E70A}"/>
    <cellStyle name="Percent" xfId="2" builtinId="5"/>
    <cellStyle name="Percent 2" xfId="10" xr:uid="{17172575-048F-441B-904F-9B1B4E4E7D53}"/>
  </cellStyles>
  <dxfs count="20">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numFmt numFmtId="35" formatCode="_(* #,##0.00_);_(* \(#,##0.00\);_(* &quot;-&quot;??_);_(@_)"/>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pivotCacheDefinition" Target="pivotCache/pivotCacheDefinition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12700</xdr:colOff>
      <xdr:row>34</xdr:row>
      <xdr:rowOff>31750</xdr:rowOff>
    </xdr:from>
    <xdr:to>
      <xdr:col>4</xdr:col>
      <xdr:colOff>831850</xdr:colOff>
      <xdr:row>38</xdr:row>
      <xdr:rowOff>151502</xdr:rowOff>
    </xdr:to>
    <xdr:pic>
      <xdr:nvPicPr>
        <xdr:cNvPr id="2" name="Picture 1">
          <a:extLst>
            <a:ext uri="{FF2B5EF4-FFF2-40B4-BE49-F238E27FC236}">
              <a16:creationId xmlns:a16="http://schemas.microsoft.com/office/drawing/2014/main" id="{69BEFA08-F220-4A74-BFB3-3C9898DF5FEC}"/>
            </a:ext>
          </a:extLst>
        </xdr:cNvPr>
        <xdr:cNvPicPr>
          <a:picLocks noChangeAspect="1"/>
        </xdr:cNvPicPr>
      </xdr:nvPicPr>
      <xdr:blipFill>
        <a:blip xmlns:r="http://schemas.openxmlformats.org/officeDocument/2006/relationships" r:embed="rId1"/>
        <a:stretch>
          <a:fillRect/>
        </a:stretch>
      </xdr:blipFill>
      <xdr:spPr>
        <a:xfrm>
          <a:off x="12700" y="5270500"/>
          <a:ext cx="3879850" cy="754752"/>
        </a:xfrm>
        <a:prstGeom prst="rect">
          <a:avLst/>
        </a:prstGeom>
      </xdr:spPr>
    </xdr:pic>
    <xdr:clientData/>
  </xdr:twoCellAnchor>
</xdr:wsDr>
</file>

<file path=xl/pivotCache/_rels/pivotCacheDefinition1.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Van Vooren, Patty" refreshedDate="45410.249651157406" createdVersion="8" refreshedVersion="8" minRefreshableVersion="3" recordCount="51" xr:uid="{3B8C0CEF-1276-48E6-9A63-65D88F16E466}">
  <cacheSource type="worksheet">
    <worksheetSource ref="A2:I53" sheet="Daily Labor Log"/>
  </cacheSource>
  <cacheFields count="9">
    <cacheField name="Date" numFmtId="14">
      <sharedItems containsSemiMixedTypes="0" containsNonDate="0" containsDate="1" containsString="0" minDate="2024-02-26T00:00:00" maxDate="2024-03-23T00:00:00"/>
    </cacheField>
    <cacheField name="Employee" numFmtId="43">
      <sharedItems count="4">
        <s v="John Doe"/>
        <s v="Sally Snow"/>
        <s v="Tom Jones"/>
        <s v="Nancy Drew"/>
      </sharedItems>
    </cacheField>
    <cacheField name="Hours" numFmtId="43">
      <sharedItems containsSemiMixedTypes="0" containsString="0" containsNumber="1" minValue="0.5" maxValue="5"/>
    </cacheField>
    <cacheField name="Cost" numFmtId="43">
      <sharedItems containsSemiMixedTypes="0" containsString="0" containsNumber="1" minValue="14.91" maxValue="198.35000000000002"/>
    </cacheField>
    <cacheField name="Region/HQ" numFmtId="43">
      <sharedItems containsNonDate="0" containsString="0" containsBlank="1"/>
    </cacheField>
    <cacheField name="State or Federal" numFmtId="43">
      <sharedItems count="2">
        <s v="State"/>
        <s v="Federal"/>
      </sharedItems>
    </cacheField>
    <cacheField name="Speedchart" numFmtId="43">
      <sharedItems/>
    </cacheField>
    <cacheField name="TDOT PIN" numFmtId="43">
      <sharedItems/>
    </cacheField>
    <cacheField name="TDOT PN #" numFmtId="43">
      <sharedItems count="24">
        <s v="35455-0416-04"/>
        <s v="57201-0159-44"/>
        <s v="62016-1206-14"/>
        <s v="37005-1237-14"/>
        <s v="06946-0435-94"/>
        <s v="01003-0246-94"/>
        <s v="10455-0407-04"/>
        <s v="23011-0240-94"/>
        <s v="23I155-M3-004"/>
        <s v="40003-0222-14"/>
        <s v="73455-0411-04"/>
        <s v="80455-0420-04"/>
        <s v="09009-1235-14"/>
        <s v="75013-1242-54"/>
        <s v="75078-0206-54"/>
        <s v="82010-1236-14"/>
        <s v="94007-0235-94"/>
        <s v="03003-1227-14"/>
        <s v="11008-1224-14"/>
        <s v="12007-0220-94"/>
        <s v="15003-0242-94"/>
        <s v="16009-1232-14"/>
        <s v="16945-0681-94"/>
        <s v="18004-0227-94"/>
      </sharedItems>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51">
  <r>
    <d v="2024-02-26T00:00:00"/>
    <x v="0"/>
    <n v="0.5"/>
    <n v="39.67"/>
    <m/>
    <x v="0"/>
    <s v="TX00261116"/>
    <s v="121539.00"/>
    <x v="0"/>
  </r>
  <r>
    <d v="2024-02-26T00:00:00"/>
    <x v="0"/>
    <n v="1"/>
    <n v="79.34"/>
    <m/>
    <x v="1"/>
    <s v="TX00311681"/>
    <s v="131306.00"/>
    <x v="1"/>
  </r>
  <r>
    <d v="2024-02-26T00:00:00"/>
    <x v="0"/>
    <n v="0.5"/>
    <n v="39.67"/>
    <m/>
    <x v="1"/>
    <s v="TX00293241"/>
    <s v="102380.02"/>
    <x v="2"/>
  </r>
  <r>
    <d v="2024-02-27T00:00:00"/>
    <x v="0"/>
    <n v="0.5"/>
    <n v="39.67"/>
    <m/>
    <x v="1"/>
    <s v="TX00298220"/>
    <s v="107579.00"/>
    <x v="3"/>
  </r>
  <r>
    <d v="2024-02-28T00:00:00"/>
    <x v="0"/>
    <n v="2.5"/>
    <n v="198.35000000000002"/>
    <m/>
    <x v="1"/>
    <s v="TX00281527"/>
    <s v="124677.00"/>
    <x v="4"/>
  </r>
  <r>
    <d v="2024-02-29T00:00:00"/>
    <x v="0"/>
    <n v="0.5"/>
    <n v="39.67"/>
    <m/>
    <x v="1"/>
    <s v="TX00289992"/>
    <s v="124128.00"/>
    <x v="5"/>
  </r>
  <r>
    <d v="2024-02-29T00:00:00"/>
    <x v="0"/>
    <n v="0.5"/>
    <n v="39.67"/>
    <m/>
    <x v="0"/>
    <s v="TX00249017"/>
    <s v="124161.00"/>
    <x v="6"/>
  </r>
  <r>
    <d v="2024-02-29T00:00:00"/>
    <x v="0"/>
    <n v="0.5"/>
    <n v="39.67"/>
    <m/>
    <x v="0"/>
    <s v="TX00261116"/>
    <s v="121539.00"/>
    <x v="0"/>
  </r>
  <r>
    <d v="2024-03-18T00:00:00"/>
    <x v="1"/>
    <n v="0.5"/>
    <n v="17.96"/>
    <m/>
    <x v="1"/>
    <s v="TX00303023"/>
    <s v="118852.01"/>
    <x v="7"/>
  </r>
  <r>
    <d v="2024-03-18T00:00:00"/>
    <x v="1"/>
    <n v="0.5"/>
    <n v="17.96"/>
    <m/>
    <x v="0"/>
    <s v="TX00321808"/>
    <s v="107298.03"/>
    <x v="8"/>
  </r>
  <r>
    <d v="2024-03-18T00:00:00"/>
    <x v="1"/>
    <n v="4"/>
    <n v="143.68"/>
    <m/>
    <x v="1"/>
    <s v="TX00298220"/>
    <s v="107579.00"/>
    <x v="3"/>
  </r>
  <r>
    <d v="2024-03-18T00:00:00"/>
    <x v="1"/>
    <n v="1"/>
    <n v="35.92"/>
    <m/>
    <x v="1"/>
    <s v="TX00286510"/>
    <s v="101886.02"/>
    <x v="9"/>
  </r>
  <r>
    <d v="2024-03-18T00:00:00"/>
    <x v="1"/>
    <n v="1"/>
    <n v="35.92"/>
    <m/>
    <x v="0"/>
    <s v="TX00249029"/>
    <s v="124519.00"/>
    <x v="10"/>
  </r>
  <r>
    <d v="2024-03-18T00:00:00"/>
    <x v="1"/>
    <n v="0.5"/>
    <n v="17.96"/>
    <m/>
    <x v="0"/>
    <s v="TX00284126"/>
    <s v="124692.00"/>
    <x v="11"/>
  </r>
  <r>
    <d v="2024-03-18T00:00:00"/>
    <x v="2"/>
    <n v="4"/>
    <n v="119.28"/>
    <m/>
    <x v="1"/>
    <s v="TX00267289"/>
    <s v="100326.02"/>
    <x v="12"/>
  </r>
  <r>
    <d v="2024-03-18T00:00:00"/>
    <x v="2"/>
    <n v="1"/>
    <n v="29.82"/>
    <m/>
    <x v="1"/>
    <s v="TX00298220"/>
    <s v="107579.00"/>
    <x v="3"/>
  </r>
  <r>
    <d v="2024-03-18T00:00:00"/>
    <x v="2"/>
    <n v="2"/>
    <n v="59.64"/>
    <m/>
    <x v="1"/>
    <s v="TX00217159"/>
    <s v="106982.00"/>
    <x v="13"/>
  </r>
  <r>
    <d v="2024-03-18T00:00:00"/>
    <x v="2"/>
    <n v="1"/>
    <n v="29.82"/>
    <m/>
    <x v="1"/>
    <s v="TX00304080"/>
    <s v="115906.00"/>
    <x v="14"/>
  </r>
  <r>
    <d v="2024-03-18T00:00:00"/>
    <x v="2"/>
    <n v="1"/>
    <n v="29.82"/>
    <m/>
    <x v="1"/>
    <s v="TX00235485"/>
    <s v="112834.03"/>
    <x v="15"/>
  </r>
  <r>
    <d v="2024-03-19T00:00:00"/>
    <x v="1"/>
    <n v="1"/>
    <n v="35.92"/>
    <m/>
    <x v="1"/>
    <s v="TX00289992"/>
    <s v="124128.00"/>
    <x v="5"/>
  </r>
  <r>
    <d v="2024-03-19T00:00:00"/>
    <x v="1"/>
    <n v="1.5"/>
    <n v="53.88"/>
    <m/>
    <x v="1"/>
    <s v="TX00298220"/>
    <s v="107579.00"/>
    <x v="3"/>
  </r>
  <r>
    <d v="2024-03-19T00:00:00"/>
    <x v="1"/>
    <n v="0.5"/>
    <n v="17.96"/>
    <m/>
    <x v="1"/>
    <s v="TX00286510"/>
    <s v="101886.02"/>
    <x v="9"/>
  </r>
  <r>
    <d v="2024-03-19T00:00:00"/>
    <x v="1"/>
    <n v="0.5"/>
    <n v="17.96"/>
    <m/>
    <x v="0"/>
    <s v="TX00249029"/>
    <s v="124519.00"/>
    <x v="10"/>
  </r>
  <r>
    <d v="2024-03-19T00:00:00"/>
    <x v="2"/>
    <n v="4.5"/>
    <n v="134.19"/>
    <m/>
    <x v="1"/>
    <s v="TX00267289"/>
    <s v="100326.02"/>
    <x v="12"/>
  </r>
  <r>
    <d v="2024-03-19T00:00:00"/>
    <x v="2"/>
    <n v="0.5"/>
    <n v="14.91"/>
    <m/>
    <x v="1"/>
    <s v="TX00298220"/>
    <s v="107579.00"/>
    <x v="3"/>
  </r>
  <r>
    <d v="2024-03-19T00:00:00"/>
    <x v="2"/>
    <n v="2"/>
    <n v="59.64"/>
    <m/>
    <x v="1"/>
    <s v="TX00217159"/>
    <s v="106982.00"/>
    <x v="13"/>
  </r>
  <r>
    <d v="2024-03-20T00:00:00"/>
    <x v="1"/>
    <n v="2.5"/>
    <n v="89.800000000000011"/>
    <m/>
    <x v="1"/>
    <s v="TX00289992"/>
    <s v="124128.00"/>
    <x v="5"/>
  </r>
  <r>
    <d v="2024-03-20T00:00:00"/>
    <x v="1"/>
    <n v="3"/>
    <n v="107.76"/>
    <m/>
    <x v="1"/>
    <s v="TX00310760"/>
    <s v="129457.00"/>
    <x v="16"/>
  </r>
  <r>
    <d v="2024-03-20T00:00:00"/>
    <x v="2"/>
    <n v="2.5"/>
    <n v="74.55"/>
    <m/>
    <x v="1"/>
    <s v="TX00304080"/>
    <s v="115906.00"/>
    <x v="14"/>
  </r>
  <r>
    <d v="2024-03-21T00:00:00"/>
    <x v="1"/>
    <n v="0.5"/>
    <n v="17.96"/>
    <m/>
    <x v="1"/>
    <s v="TX00289992"/>
    <s v="124128.00"/>
    <x v="5"/>
  </r>
  <r>
    <d v="2024-03-21T00:00:00"/>
    <x v="1"/>
    <n v="0.5"/>
    <n v="17.96"/>
    <m/>
    <x v="1"/>
    <s v="TX00314115"/>
    <s v="105768.00"/>
    <x v="17"/>
  </r>
  <r>
    <d v="2024-03-21T00:00:00"/>
    <x v="1"/>
    <n v="1"/>
    <n v="35.92"/>
    <m/>
    <x v="1"/>
    <s v="TX00281527"/>
    <s v="124677.00"/>
    <x v="4"/>
  </r>
  <r>
    <d v="2024-03-21T00:00:00"/>
    <x v="2"/>
    <n v="2"/>
    <n v="59.64"/>
    <m/>
    <x v="1"/>
    <s v="TX00314115"/>
    <s v="105768.00"/>
    <x v="17"/>
  </r>
  <r>
    <d v="2024-03-21T00:00:00"/>
    <x v="2"/>
    <n v="1"/>
    <n v="29.82"/>
    <m/>
    <x v="1"/>
    <s v="TX00298220"/>
    <s v="107579.00"/>
    <x v="3"/>
  </r>
  <r>
    <d v="2024-03-21T00:00:00"/>
    <x v="2"/>
    <n v="0.5"/>
    <n v="14.91"/>
    <m/>
    <x v="1"/>
    <s v="TX00304080"/>
    <s v="115906.00"/>
    <x v="14"/>
  </r>
  <r>
    <d v="2024-03-21T00:00:00"/>
    <x v="2"/>
    <n v="1"/>
    <n v="29.82"/>
    <m/>
    <x v="1"/>
    <s v="TX00235485"/>
    <s v="112834.03"/>
    <x v="15"/>
  </r>
  <r>
    <d v="2024-03-22T00:00:00"/>
    <x v="1"/>
    <n v="1"/>
    <n v="35.92"/>
    <m/>
    <x v="1"/>
    <s v="TX00314115"/>
    <s v="105768.00"/>
    <x v="17"/>
  </r>
  <r>
    <d v="2024-03-22T00:00:00"/>
    <x v="1"/>
    <n v="4"/>
    <n v="143.68"/>
    <m/>
    <x v="1"/>
    <s v="TX00281527"/>
    <s v="124677.00"/>
    <x v="4"/>
  </r>
  <r>
    <d v="2024-03-22T00:00:00"/>
    <x v="2"/>
    <n v="5"/>
    <n v="149.1"/>
    <m/>
    <x v="1"/>
    <s v="TX00314115"/>
    <s v="105768.00"/>
    <x v="17"/>
  </r>
  <r>
    <d v="2024-03-20T00:00:00"/>
    <x v="3"/>
    <n v="0.5"/>
    <n v="15"/>
    <m/>
    <x v="1"/>
    <s v="TX00309997"/>
    <s v="109542.01"/>
    <x v="18"/>
  </r>
  <r>
    <d v="2024-03-20T00:00:00"/>
    <x v="3"/>
    <n v="1"/>
    <n v="30"/>
    <m/>
    <x v="1"/>
    <s v="TX00250627"/>
    <s v="124154.00"/>
    <x v="19"/>
  </r>
  <r>
    <d v="2024-03-20T00:00:00"/>
    <x v="3"/>
    <n v="0.5"/>
    <n v="15"/>
    <m/>
    <x v="1"/>
    <s v="TX00311664"/>
    <s v="127530.00"/>
    <x v="20"/>
  </r>
  <r>
    <d v="2024-03-21T00:00:00"/>
    <x v="3"/>
    <n v="0.5"/>
    <n v="15"/>
    <m/>
    <x v="1"/>
    <s v="TX00293264"/>
    <s v="101589.01"/>
    <x v="21"/>
  </r>
  <r>
    <d v="2024-03-21T00:00:00"/>
    <x v="3"/>
    <n v="1"/>
    <n v="30"/>
    <m/>
    <x v="1"/>
    <s v="TX00289136"/>
    <s v="110324.01"/>
    <x v="22"/>
  </r>
  <r>
    <d v="2024-03-21T00:00:00"/>
    <x v="3"/>
    <n v="0.5"/>
    <n v="15"/>
    <m/>
    <x v="1"/>
    <s v="TX00301639"/>
    <s v="124053.00"/>
    <x v="23"/>
  </r>
  <r>
    <d v="2024-03-18T00:00:00"/>
    <x v="0"/>
    <n v="0.5"/>
    <n v="39.67"/>
    <m/>
    <x v="0"/>
    <s v="TX00261116"/>
    <s v="121539.00"/>
    <x v="0"/>
  </r>
  <r>
    <d v="2024-03-19T00:00:00"/>
    <x v="0"/>
    <n v="1"/>
    <n v="79.34"/>
    <m/>
    <x v="1"/>
    <s v="TX00311681"/>
    <s v="131306.00"/>
    <x v="1"/>
  </r>
  <r>
    <d v="2024-03-20T00:00:00"/>
    <x v="0"/>
    <n v="0.5"/>
    <n v="39.67"/>
    <m/>
    <x v="1"/>
    <s v="TX00293241"/>
    <s v="102380.02"/>
    <x v="2"/>
  </r>
  <r>
    <d v="2024-03-21T00:00:00"/>
    <x v="0"/>
    <n v="0.5"/>
    <n v="39.67"/>
    <m/>
    <x v="1"/>
    <s v="TX00298220"/>
    <s v="107579.00"/>
    <x v="3"/>
  </r>
  <r>
    <d v="2024-03-22T00:00:00"/>
    <x v="0"/>
    <n v="2.5"/>
    <n v="198.35000000000002"/>
    <m/>
    <x v="1"/>
    <s v="TX00281527"/>
    <s v="124677.00"/>
    <x v="4"/>
  </r>
  <r>
    <d v="2024-03-22T00:00:00"/>
    <x v="0"/>
    <n v="0.5"/>
    <n v="39.67"/>
    <m/>
    <x v="1"/>
    <s v="TX00289992"/>
    <s v="124128.00"/>
    <x v="5"/>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487CAB44-8DB7-4E89-93CD-EE3CEC152646}" name="PivotTable1" cacheId="0" applyNumberFormats="0" applyBorderFormats="0" applyFontFormats="0" applyPatternFormats="0" applyAlignmentFormats="0" applyWidthHeightFormats="1" dataCaption="Values" updatedVersion="8" minRefreshableVersion="3" useAutoFormatting="1" itemPrintTitles="1" createdVersion="8" indent="0" outline="1" outlineData="1" multipleFieldFilters="0">
  <location ref="A18:B56" firstHeaderRow="1" firstDataRow="1" firstDataCol="1"/>
  <pivotFields count="9">
    <pivotField numFmtId="14" showAll="0"/>
    <pivotField axis="axisRow" showAll="0">
      <items count="5">
        <item x="0"/>
        <item x="1"/>
        <item x="2"/>
        <item x="3"/>
        <item t="default"/>
      </items>
    </pivotField>
    <pivotField dataField="1" showAll="0"/>
    <pivotField numFmtId="44" showAll="0"/>
    <pivotField showAll="0"/>
    <pivotField axis="axisRow" showAll="0">
      <items count="3">
        <item x="1"/>
        <item x="0"/>
        <item t="default"/>
      </items>
    </pivotField>
    <pivotField showAll="0"/>
    <pivotField showAll="0"/>
    <pivotField axis="axisRow" showAll="0">
      <items count="25">
        <item x="5"/>
        <item x="17"/>
        <item x="4"/>
        <item x="12"/>
        <item x="6"/>
        <item x="7"/>
        <item x="8"/>
        <item x="0"/>
        <item x="3"/>
        <item x="9"/>
        <item x="1"/>
        <item x="2"/>
        <item x="10"/>
        <item x="13"/>
        <item x="14"/>
        <item x="11"/>
        <item x="15"/>
        <item x="16"/>
        <item x="18"/>
        <item x="19"/>
        <item x="20"/>
        <item x="21"/>
        <item x="22"/>
        <item x="23"/>
        <item t="default"/>
      </items>
    </pivotField>
  </pivotFields>
  <rowFields count="3">
    <field x="5"/>
    <field x="1"/>
    <field x="8"/>
  </rowFields>
  <rowItems count="38">
    <i>
      <x/>
    </i>
    <i r="1">
      <x/>
    </i>
    <i r="2">
      <x/>
    </i>
    <i r="2">
      <x v="2"/>
    </i>
    <i r="2">
      <x v="8"/>
    </i>
    <i r="2">
      <x v="10"/>
    </i>
    <i r="2">
      <x v="11"/>
    </i>
    <i r="1">
      <x v="1"/>
    </i>
    <i r="2">
      <x/>
    </i>
    <i r="2">
      <x v="1"/>
    </i>
    <i r="2">
      <x v="2"/>
    </i>
    <i r="2">
      <x v="5"/>
    </i>
    <i r="2">
      <x v="8"/>
    </i>
    <i r="2">
      <x v="9"/>
    </i>
    <i r="2">
      <x v="17"/>
    </i>
    <i r="1">
      <x v="2"/>
    </i>
    <i r="2">
      <x v="1"/>
    </i>
    <i r="2">
      <x v="3"/>
    </i>
    <i r="2">
      <x v="8"/>
    </i>
    <i r="2">
      <x v="13"/>
    </i>
    <i r="2">
      <x v="14"/>
    </i>
    <i r="2">
      <x v="16"/>
    </i>
    <i r="1">
      <x v="3"/>
    </i>
    <i r="2">
      <x v="18"/>
    </i>
    <i r="2">
      <x v="19"/>
    </i>
    <i r="2">
      <x v="20"/>
    </i>
    <i r="2">
      <x v="21"/>
    </i>
    <i r="2">
      <x v="22"/>
    </i>
    <i r="2">
      <x v="23"/>
    </i>
    <i>
      <x v="1"/>
    </i>
    <i r="1">
      <x/>
    </i>
    <i r="2">
      <x v="4"/>
    </i>
    <i r="2">
      <x v="7"/>
    </i>
    <i r="1">
      <x v="1"/>
    </i>
    <i r="2">
      <x v="6"/>
    </i>
    <i r="2">
      <x v="12"/>
    </i>
    <i r="2">
      <x v="15"/>
    </i>
    <i t="grand">
      <x/>
    </i>
  </rowItems>
  <colItems count="1">
    <i/>
  </colItems>
  <dataFields count="1">
    <dataField name="Sum of Hours" fld="2" baseField="0" baseItem="0"/>
  </dataFields>
  <formats count="20">
    <format dxfId="19">
      <pivotArea outline="0" collapsedLevelsAreSubtotals="1" fieldPosition="0"/>
    </format>
    <format dxfId="18">
      <pivotArea dataOnly="0" labelOnly="1" fieldPosition="0">
        <references count="1">
          <reference field="1" count="1">
            <x v="0"/>
          </reference>
        </references>
      </pivotArea>
    </format>
    <format dxfId="17">
      <pivotArea dataOnly="0" labelOnly="1" fieldPosition="0">
        <references count="1">
          <reference field="1" count="1">
            <x v="1"/>
          </reference>
        </references>
      </pivotArea>
    </format>
    <format dxfId="16">
      <pivotArea dataOnly="0" labelOnly="1" fieldPosition="0">
        <references count="1">
          <reference field="1" count="1">
            <x v="2"/>
          </reference>
        </references>
      </pivotArea>
    </format>
    <format dxfId="15">
      <pivotArea field="1" grandCol="1" outline="0" collapsedLevelsAreSubtotals="1" axis="axisRow" fieldPosition="1">
        <references count="2">
          <reference field="4294967294" count="1" selected="0">
            <x v="0"/>
          </reference>
          <reference field="1" count="1" selected="0">
            <x v="0"/>
          </reference>
        </references>
      </pivotArea>
    </format>
    <format dxfId="14">
      <pivotArea field="1" grandCol="1" outline="0" collapsedLevelsAreSubtotals="1" axis="axisRow" fieldPosition="1">
        <references count="2">
          <reference field="4294967294" count="1" selected="0">
            <x v="0"/>
          </reference>
          <reference field="1" count="1" selected="0">
            <x v="1"/>
          </reference>
        </references>
      </pivotArea>
    </format>
    <format dxfId="13">
      <pivotArea field="1" grandCol="1" outline="0" collapsedLevelsAreSubtotals="1" axis="axisRow" fieldPosition="1">
        <references count="2">
          <reference field="4294967294" count="1" selected="0">
            <x v="0"/>
          </reference>
          <reference field="1" count="1" selected="0">
            <x v="2"/>
          </reference>
        </references>
      </pivotArea>
    </format>
    <format dxfId="12">
      <pivotArea field="5" grandCol="1" collapsedLevelsAreSubtotals="1" axis="axisRow" fieldPosition="0">
        <references count="2">
          <reference field="4294967294" count="1" selected="0">
            <x v="0"/>
          </reference>
          <reference field="5" count="1">
            <x v="0"/>
          </reference>
        </references>
      </pivotArea>
    </format>
    <format dxfId="11">
      <pivotArea field="5" grandCol="1" collapsedLevelsAreSubtotals="1" axis="axisRow" fieldPosition="0">
        <references count="2">
          <reference field="4294967294" count="1" selected="0">
            <x v="0"/>
          </reference>
          <reference field="5" count="1">
            <x v="1"/>
          </reference>
        </references>
      </pivotArea>
    </format>
    <format dxfId="10">
      <pivotArea grandRow="1" grandCol="1" outline="0" collapsedLevelsAreSubtotals="1" fieldPosition="0">
        <references count="1">
          <reference field="4294967294" count="1" selected="0">
            <x v="0"/>
          </reference>
        </references>
      </pivotArea>
    </format>
    <format dxfId="9">
      <pivotArea collapsedLevelsAreSubtotals="1" fieldPosition="0">
        <references count="3">
          <reference field="4294967294" count="1" selected="0">
            <x v="0"/>
          </reference>
          <reference field="1" count="1" selected="0">
            <x v="0"/>
          </reference>
          <reference field="5" count="1">
            <x v="0"/>
          </reference>
        </references>
      </pivotArea>
    </format>
    <format dxfId="8">
      <pivotArea collapsedLevelsAreSubtotals="1" fieldPosition="0">
        <references count="3">
          <reference field="4294967294" count="1" selected="0">
            <x v="0"/>
          </reference>
          <reference field="1" count="1" selected="0">
            <x v="1"/>
          </reference>
          <reference field="5" count="1">
            <x v="0"/>
          </reference>
        </references>
      </pivotArea>
    </format>
    <format dxfId="7">
      <pivotArea collapsedLevelsAreSubtotals="1" fieldPosition="0">
        <references count="3">
          <reference field="4294967294" count="1" selected="0">
            <x v="0"/>
          </reference>
          <reference field="1" count="1" selected="0">
            <x v="2"/>
          </reference>
          <reference field="5" count="1">
            <x v="0"/>
          </reference>
        </references>
      </pivotArea>
    </format>
    <format dxfId="6">
      <pivotArea collapsedLevelsAreSubtotals="1" fieldPosition="0">
        <references count="3">
          <reference field="4294967294" count="1" selected="0">
            <x v="0"/>
          </reference>
          <reference field="1" count="1" selected="0">
            <x v="1"/>
          </reference>
          <reference field="5" count="1">
            <x v="1"/>
          </reference>
        </references>
      </pivotArea>
    </format>
    <format dxfId="5">
      <pivotArea collapsedLevelsAreSubtotals="1" fieldPosition="0">
        <references count="3">
          <reference field="4294967294" count="1" selected="0">
            <x v="0"/>
          </reference>
          <reference field="1" count="1" selected="0">
            <x v="0"/>
          </reference>
          <reference field="5" count="1">
            <x v="1"/>
          </reference>
        </references>
      </pivotArea>
    </format>
    <format dxfId="4">
      <pivotArea dataOnly="0" labelOnly="1" fieldPosition="0">
        <references count="1">
          <reference field="5" count="1">
            <x v="0"/>
          </reference>
        </references>
      </pivotArea>
    </format>
    <format dxfId="3">
      <pivotArea dataOnly="0" labelOnly="1" fieldPosition="0">
        <references count="1">
          <reference field="5" count="1">
            <x v="1"/>
          </reference>
        </references>
      </pivotArea>
    </format>
    <format dxfId="2">
      <pivotArea dataOnly="0" labelOnly="1" fieldPosition="0">
        <references count="1">
          <reference field="1" count="1">
            <x v="3"/>
          </reference>
        </references>
      </pivotArea>
    </format>
    <format dxfId="1">
      <pivotArea collapsedLevelsAreSubtotals="1" fieldPosition="0">
        <references count="3">
          <reference field="4294967294" count="1" selected="0">
            <x v="0"/>
          </reference>
          <reference field="1" count="1" selected="0">
            <x v="3"/>
          </reference>
          <reference field="5" count="1">
            <x v="0"/>
          </reference>
        </references>
      </pivotArea>
    </format>
    <format dxfId="0">
      <pivotArea field="1" grandCol="1" outline="0" collapsedLevelsAreSubtotals="1" axis="axisRow" fieldPosition="1">
        <references count="2">
          <reference field="4294967294" count="1" selected="0">
            <x v="0"/>
          </reference>
          <reference field="1" count="1" selected="0">
            <x v="3"/>
          </reference>
        </references>
      </pivotArea>
    </format>
  </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4.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mailto:Sally.Snow@ABCEngineering.com" TargetMode="External"/><Relationship Id="rId1" Type="http://schemas.openxmlformats.org/officeDocument/2006/relationships/hyperlink" Target="mailto:tdot.psinvoices@tn.gov" TargetMode="External"/><Relationship Id="rId4" Type="http://schemas.openxmlformats.org/officeDocument/2006/relationships/vmlDrawing" Target="../drawings/vmlDrawing1.vml"/></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965B4B-210B-414B-95E5-8AAB76A36F9B}">
  <sheetPr>
    <tabColor theme="9" tint="0.79998168889431442"/>
  </sheetPr>
  <dimension ref="A1:T56"/>
  <sheetViews>
    <sheetView workbookViewId="0">
      <selection activeCell="I1" sqref="I1"/>
    </sheetView>
  </sheetViews>
  <sheetFormatPr defaultRowHeight="12.75" x14ac:dyDescent="0.2"/>
  <cols>
    <col min="1" max="1" width="19.28515625" bestFit="1" customWidth="1"/>
    <col min="2" max="2" width="12.5703125" bestFit="1" customWidth="1"/>
    <col min="3" max="3" width="10.140625" bestFit="1" customWidth="1"/>
    <col min="4" max="4" width="10.42578125" bestFit="1" customWidth="1"/>
    <col min="5" max="6" width="11.140625" bestFit="1" customWidth="1"/>
    <col min="7" max="7" width="11.85546875" bestFit="1" customWidth="1"/>
    <col min="8" max="8" width="13.28515625" bestFit="1" customWidth="1"/>
    <col min="9" max="9" width="11.85546875" bestFit="1" customWidth="1"/>
    <col min="10" max="10" width="18.5703125" bestFit="1" customWidth="1"/>
    <col min="11" max="11" width="17.28515625" bestFit="1" customWidth="1"/>
    <col min="13" max="13" width="21.5703125" customWidth="1"/>
    <col min="14" max="14" width="15.140625" bestFit="1" customWidth="1"/>
    <col min="15" max="15" width="8.140625" bestFit="1" customWidth="1"/>
    <col min="16" max="16" width="16.7109375" customWidth="1"/>
  </cols>
  <sheetData>
    <row r="1" spans="1:20" ht="18" x14ac:dyDescent="0.25">
      <c r="B1" s="208" t="s">
        <v>214</v>
      </c>
    </row>
    <row r="3" spans="1:20" x14ac:dyDescent="0.2">
      <c r="A3" s="130"/>
      <c r="B3" s="130"/>
      <c r="C3" s="130"/>
      <c r="D3" s="142"/>
      <c r="E3" s="142"/>
      <c r="F3" s="142"/>
      <c r="G3" s="142"/>
      <c r="H3" s="142"/>
      <c r="I3" s="142"/>
    </row>
    <row r="4" spans="1:20" x14ac:dyDescent="0.2">
      <c r="B4" s="142"/>
      <c r="C4" s="142"/>
      <c r="D4" s="142"/>
      <c r="E4" s="142"/>
      <c r="F4" s="142"/>
      <c r="G4" s="142"/>
      <c r="H4" s="142"/>
      <c r="I4" s="142"/>
    </row>
    <row r="5" spans="1:20" ht="13.5" thickBot="1" x14ac:dyDescent="0.25">
      <c r="A5" s="165" t="s">
        <v>173</v>
      </c>
      <c r="B5" s="166"/>
      <c r="C5" s="166"/>
      <c r="D5" s="142"/>
      <c r="E5" s="142"/>
      <c r="F5" s="142"/>
      <c r="G5" s="142"/>
      <c r="H5" s="142"/>
      <c r="I5" s="142"/>
    </row>
    <row r="6" spans="1:20" ht="39" thickBot="1" x14ac:dyDescent="0.25">
      <c r="A6" s="171" t="s">
        <v>178</v>
      </c>
      <c r="B6" s="172" t="s">
        <v>171</v>
      </c>
      <c r="C6" s="173">
        <v>1.9052</v>
      </c>
      <c r="D6" s="173">
        <v>0.115</v>
      </c>
      <c r="E6" s="174"/>
      <c r="F6" s="176" t="s">
        <v>179</v>
      </c>
      <c r="G6" s="177" t="s">
        <v>171</v>
      </c>
      <c r="H6" s="178">
        <v>1.45</v>
      </c>
      <c r="I6" s="178">
        <v>0.115</v>
      </c>
      <c r="J6" s="174"/>
    </row>
    <row r="7" spans="1:20" ht="25.5" x14ac:dyDescent="0.2">
      <c r="A7" s="167" t="s">
        <v>116</v>
      </c>
      <c r="B7" s="168" t="s">
        <v>117</v>
      </c>
      <c r="C7" s="169" t="s">
        <v>80</v>
      </c>
      <c r="D7" s="169" t="s">
        <v>118</v>
      </c>
      <c r="E7" s="170" t="s">
        <v>119</v>
      </c>
      <c r="F7" s="167" t="s">
        <v>116</v>
      </c>
      <c r="G7" s="168" t="s">
        <v>117</v>
      </c>
      <c r="H7" s="169" t="s">
        <v>80</v>
      </c>
      <c r="I7" s="169" t="s">
        <v>118</v>
      </c>
      <c r="J7" s="175" t="s">
        <v>119</v>
      </c>
    </row>
    <row r="8" spans="1:20" x14ac:dyDescent="0.2">
      <c r="A8" s="159" t="s">
        <v>175</v>
      </c>
      <c r="B8" s="161">
        <v>78</v>
      </c>
      <c r="C8" s="132">
        <f>ROUND(B8*$C$6,2)</f>
        <v>148.61000000000001</v>
      </c>
      <c r="D8" s="132">
        <f>ROUND((B8+C8)*$D$6,2)</f>
        <v>26.06</v>
      </c>
      <c r="E8" s="198">
        <f>ROUND(B8+C8+D8,3)</f>
        <v>252.67</v>
      </c>
      <c r="F8" s="159" t="s">
        <v>175</v>
      </c>
      <c r="G8" s="161">
        <v>79.34</v>
      </c>
      <c r="H8" s="132">
        <f t="shared" ref="H8:H14" si="0">ROUND(G8*$H$6,2)</f>
        <v>115.04</v>
      </c>
      <c r="I8" s="132">
        <f t="shared" ref="I8:I14" si="1">ROUND((G8+H8)*$I$6,2)</f>
        <v>22.35</v>
      </c>
      <c r="J8" s="199">
        <f t="shared" ref="J8:J14" si="2">ROUND(G8+H8+I8,3)</f>
        <v>216.73</v>
      </c>
    </row>
    <row r="9" spans="1:20" x14ac:dyDescent="0.2">
      <c r="A9" s="159" t="s">
        <v>176</v>
      </c>
      <c r="B9" s="161">
        <v>28</v>
      </c>
      <c r="C9" s="132">
        <f>ROUND(B9*$C$6,2)</f>
        <v>53.35</v>
      </c>
      <c r="D9" s="132">
        <f>ROUND((B9+C9)*$D$6,2)</f>
        <v>9.36</v>
      </c>
      <c r="E9" s="198">
        <f>ROUND(B9+C9+D9,3)</f>
        <v>90.71</v>
      </c>
      <c r="F9" s="159" t="s">
        <v>176</v>
      </c>
      <c r="G9" s="161">
        <v>29.82</v>
      </c>
      <c r="H9" s="132">
        <f t="shared" si="0"/>
        <v>43.24</v>
      </c>
      <c r="I9" s="132">
        <f t="shared" si="1"/>
        <v>8.4</v>
      </c>
      <c r="J9" s="199">
        <f t="shared" si="2"/>
        <v>81.459999999999994</v>
      </c>
    </row>
    <row r="10" spans="1:20" x14ac:dyDescent="0.2">
      <c r="A10" s="159" t="s">
        <v>177</v>
      </c>
      <c r="B10" s="161">
        <v>36</v>
      </c>
      <c r="C10" s="132">
        <f>ROUND(B10*$C$6,2)</f>
        <v>68.59</v>
      </c>
      <c r="D10" s="132">
        <f>ROUND((B10+C10)*$D$6,2)</f>
        <v>12.03</v>
      </c>
      <c r="E10" s="198">
        <f>ROUND(B10+C10+D10,3)</f>
        <v>116.62</v>
      </c>
      <c r="F10" s="159" t="s">
        <v>177</v>
      </c>
      <c r="G10" s="161">
        <v>35.92</v>
      </c>
      <c r="H10" s="132">
        <f t="shared" si="0"/>
        <v>52.08</v>
      </c>
      <c r="I10" s="132">
        <f t="shared" si="1"/>
        <v>10.119999999999999</v>
      </c>
      <c r="J10" s="199">
        <f t="shared" si="2"/>
        <v>98.12</v>
      </c>
    </row>
    <row r="11" spans="1:20" x14ac:dyDescent="0.2">
      <c r="A11" s="159" t="s">
        <v>191</v>
      </c>
      <c r="B11" s="161">
        <v>30</v>
      </c>
      <c r="C11" s="132">
        <f>ROUND(B11*$C$6,2)</f>
        <v>57.16</v>
      </c>
      <c r="D11" s="132">
        <f>ROUND((B11+C11)*$D$6,2)</f>
        <v>10.02</v>
      </c>
      <c r="E11" s="150">
        <f>ROUND(B11+C11+D11,3)</f>
        <v>97.18</v>
      </c>
      <c r="F11" s="159" t="s">
        <v>191</v>
      </c>
      <c r="G11" s="161">
        <v>30</v>
      </c>
      <c r="H11" s="132">
        <f t="shared" si="0"/>
        <v>43.5</v>
      </c>
      <c r="I11" s="132">
        <f t="shared" si="1"/>
        <v>8.4499999999999993</v>
      </c>
      <c r="J11" s="146">
        <f t="shared" si="2"/>
        <v>81.95</v>
      </c>
    </row>
    <row r="12" spans="1:20" x14ac:dyDescent="0.2">
      <c r="A12" s="162"/>
      <c r="B12" s="160"/>
      <c r="C12" s="133"/>
      <c r="D12" s="133"/>
      <c r="E12" s="151"/>
      <c r="F12" s="162"/>
      <c r="G12" s="160"/>
      <c r="H12" s="132">
        <f t="shared" si="0"/>
        <v>0</v>
      </c>
      <c r="I12" s="132">
        <f t="shared" si="1"/>
        <v>0</v>
      </c>
      <c r="J12" s="147">
        <f t="shared" si="2"/>
        <v>0</v>
      </c>
    </row>
    <row r="13" spans="1:20" x14ac:dyDescent="0.2">
      <c r="A13" s="162"/>
      <c r="B13" s="160"/>
      <c r="C13" s="133"/>
      <c r="D13" s="133"/>
      <c r="E13" s="151"/>
      <c r="F13" s="162"/>
      <c r="G13" s="160"/>
      <c r="H13" s="132">
        <f t="shared" si="0"/>
        <v>0</v>
      </c>
      <c r="I13" s="132">
        <f t="shared" si="1"/>
        <v>0</v>
      </c>
      <c r="J13" s="147">
        <f t="shared" si="2"/>
        <v>0</v>
      </c>
    </row>
    <row r="14" spans="1:20" ht="13.5" thickBot="1" x14ac:dyDescent="0.25">
      <c r="A14" s="163"/>
      <c r="B14" s="164"/>
      <c r="C14" s="152"/>
      <c r="D14" s="152"/>
      <c r="E14" s="153"/>
      <c r="F14" s="163"/>
      <c r="G14" s="164"/>
      <c r="H14" s="148">
        <f t="shared" si="0"/>
        <v>0</v>
      </c>
      <c r="I14" s="148">
        <f t="shared" si="1"/>
        <v>0</v>
      </c>
      <c r="J14" s="149">
        <f t="shared" si="2"/>
        <v>0</v>
      </c>
    </row>
    <row r="15" spans="1:20" x14ac:dyDescent="0.2">
      <c r="B15" s="142"/>
      <c r="C15" s="142"/>
      <c r="D15" s="142"/>
      <c r="E15" s="142"/>
      <c r="F15" s="142"/>
      <c r="G15" s="142"/>
      <c r="H15" s="142"/>
      <c r="I15" s="142"/>
    </row>
    <row r="16" spans="1:20" x14ac:dyDescent="0.2">
      <c r="B16" s="142"/>
      <c r="C16" s="142"/>
      <c r="D16" s="142"/>
      <c r="E16" s="142"/>
      <c r="F16" s="142"/>
      <c r="G16" s="142"/>
      <c r="H16" s="142"/>
      <c r="I16" s="142"/>
      <c r="M16" s="188" t="s">
        <v>192</v>
      </c>
      <c r="N16" s="165"/>
      <c r="O16" s="165"/>
      <c r="P16" s="165"/>
      <c r="Q16" s="165"/>
      <c r="R16" s="165"/>
      <c r="S16" s="165"/>
      <c r="T16" s="165"/>
    </row>
    <row r="17" spans="1:19" x14ac:dyDescent="0.2">
      <c r="A17" s="188" t="s">
        <v>211</v>
      </c>
      <c r="B17" s="166"/>
      <c r="C17" s="166"/>
      <c r="D17" s="166"/>
      <c r="E17" s="166"/>
      <c r="F17" s="166"/>
      <c r="G17" s="166"/>
      <c r="H17" s="166"/>
      <c r="I17" s="166"/>
      <c r="J17" s="165"/>
      <c r="K17" s="165"/>
      <c r="M17" s="188" t="s">
        <v>213</v>
      </c>
      <c r="N17" s="165"/>
      <c r="O17" s="165"/>
      <c r="P17" s="165"/>
      <c r="Q17" s="165"/>
      <c r="R17" s="165"/>
      <c r="S17" s="165"/>
    </row>
    <row r="18" spans="1:19" ht="25.5" x14ac:dyDescent="0.2">
      <c r="A18" s="135" t="s">
        <v>121</v>
      </c>
      <c r="B18" t="s">
        <v>122</v>
      </c>
      <c r="M18" s="123" t="s">
        <v>104</v>
      </c>
      <c r="N18" s="123" t="s">
        <v>108</v>
      </c>
      <c r="O18" s="124" t="s">
        <v>103</v>
      </c>
      <c r="P18" s="123" t="s">
        <v>75</v>
      </c>
    </row>
    <row r="19" spans="1:19" x14ac:dyDescent="0.2">
      <c r="A19" s="201" t="s">
        <v>49</v>
      </c>
      <c r="B19" s="200">
        <v>63</v>
      </c>
      <c r="M19" s="141" t="s">
        <v>129</v>
      </c>
      <c r="N19" s="141" t="s">
        <v>130</v>
      </c>
      <c r="O19" s="141" t="s">
        <v>49</v>
      </c>
      <c r="P19" s="141" t="s">
        <v>133</v>
      </c>
    </row>
    <row r="20" spans="1:19" x14ac:dyDescent="0.2">
      <c r="A20" s="223" t="s">
        <v>175</v>
      </c>
      <c r="B20" s="200">
        <v>10</v>
      </c>
      <c r="M20" s="141" t="s">
        <v>146</v>
      </c>
      <c r="N20" s="141" t="s">
        <v>147</v>
      </c>
      <c r="O20" s="141" t="s">
        <v>49</v>
      </c>
      <c r="P20" s="141" t="s">
        <v>148</v>
      </c>
    </row>
    <row r="21" spans="1:19" x14ac:dyDescent="0.2">
      <c r="A21" s="222" t="s">
        <v>130</v>
      </c>
      <c r="B21" s="131">
        <v>1</v>
      </c>
      <c r="M21" s="141" t="s">
        <v>123</v>
      </c>
      <c r="N21" s="141" t="s">
        <v>124</v>
      </c>
      <c r="O21" s="141" t="s">
        <v>49</v>
      </c>
      <c r="P21" s="141" t="s">
        <v>131</v>
      </c>
    </row>
    <row r="22" spans="1:19" x14ac:dyDescent="0.2">
      <c r="A22" s="222" t="s">
        <v>124</v>
      </c>
      <c r="B22" s="131">
        <v>5</v>
      </c>
      <c r="M22" s="141" t="s">
        <v>140</v>
      </c>
      <c r="N22" s="141" t="s">
        <v>141</v>
      </c>
      <c r="O22" s="141" t="s">
        <v>49</v>
      </c>
      <c r="P22" s="141" t="s">
        <v>150</v>
      </c>
    </row>
    <row r="23" spans="1:19" x14ac:dyDescent="0.2">
      <c r="A23" s="222" t="s">
        <v>111</v>
      </c>
      <c r="B23" s="131">
        <v>1</v>
      </c>
      <c r="M23" s="141" t="s">
        <v>112</v>
      </c>
      <c r="N23" s="141" t="s">
        <v>113</v>
      </c>
      <c r="O23" s="141" t="s">
        <v>50</v>
      </c>
      <c r="P23" s="141" t="s">
        <v>136</v>
      </c>
    </row>
    <row r="24" spans="1:19" x14ac:dyDescent="0.2">
      <c r="A24" s="222" t="s">
        <v>128</v>
      </c>
      <c r="B24" s="131">
        <v>2</v>
      </c>
      <c r="M24" s="141" t="s">
        <v>193</v>
      </c>
      <c r="N24" s="141" t="s">
        <v>194</v>
      </c>
      <c r="O24" s="141" t="s">
        <v>49</v>
      </c>
      <c r="P24" s="141" t="s">
        <v>205</v>
      </c>
    </row>
    <row r="25" spans="1:19" x14ac:dyDescent="0.2">
      <c r="A25" s="222" t="s">
        <v>126</v>
      </c>
      <c r="B25" s="131">
        <v>1</v>
      </c>
      <c r="M25" s="141" t="s">
        <v>195</v>
      </c>
      <c r="N25" s="141" t="s">
        <v>196</v>
      </c>
      <c r="O25" s="141" t="s">
        <v>49</v>
      </c>
      <c r="P25" s="141" t="s">
        <v>206</v>
      </c>
    </row>
    <row r="26" spans="1:19" x14ac:dyDescent="0.2">
      <c r="A26" s="223" t="s">
        <v>177</v>
      </c>
      <c r="B26" s="200">
        <v>21</v>
      </c>
      <c r="M26" s="141" t="s">
        <v>197</v>
      </c>
      <c r="N26" s="141" t="s">
        <v>198</v>
      </c>
      <c r="O26" s="141" t="s">
        <v>49</v>
      </c>
      <c r="P26" s="141" t="s">
        <v>207</v>
      </c>
    </row>
    <row r="27" spans="1:19" x14ac:dyDescent="0.2">
      <c r="A27" s="222" t="s">
        <v>130</v>
      </c>
      <c r="B27" s="131">
        <v>4</v>
      </c>
      <c r="M27" s="141" t="s">
        <v>199</v>
      </c>
      <c r="N27" s="141" t="s">
        <v>200</v>
      </c>
      <c r="O27" s="141" t="s">
        <v>49</v>
      </c>
      <c r="P27" s="141" t="s">
        <v>208</v>
      </c>
    </row>
    <row r="28" spans="1:19" x14ac:dyDescent="0.2">
      <c r="A28" s="222" t="s">
        <v>147</v>
      </c>
      <c r="B28" s="131">
        <v>1.5</v>
      </c>
      <c r="M28" s="141" t="s">
        <v>201</v>
      </c>
      <c r="N28" s="141" t="s">
        <v>202</v>
      </c>
      <c r="O28" s="141" t="s">
        <v>49</v>
      </c>
      <c r="P28" s="141" t="s">
        <v>209</v>
      </c>
    </row>
    <row r="29" spans="1:19" x14ac:dyDescent="0.2">
      <c r="A29" s="222" t="s">
        <v>124</v>
      </c>
      <c r="B29" s="131">
        <v>5</v>
      </c>
      <c r="M29" s="141" t="s">
        <v>203</v>
      </c>
      <c r="N29" s="141" t="s">
        <v>204</v>
      </c>
      <c r="O29" s="141" t="s">
        <v>49</v>
      </c>
      <c r="P29" s="141" t="s">
        <v>210</v>
      </c>
    </row>
    <row r="30" spans="1:19" x14ac:dyDescent="0.2">
      <c r="A30" s="222" t="s">
        <v>158</v>
      </c>
      <c r="B30" s="131">
        <v>0.5</v>
      </c>
      <c r="M30" s="141" t="s">
        <v>157</v>
      </c>
      <c r="N30" s="141" t="s">
        <v>158</v>
      </c>
      <c r="O30" s="141" t="s">
        <v>49</v>
      </c>
      <c r="P30" s="141" t="s">
        <v>165</v>
      </c>
    </row>
    <row r="31" spans="1:19" x14ac:dyDescent="0.2">
      <c r="A31" s="222" t="s">
        <v>111</v>
      </c>
      <c r="B31" s="131">
        <v>5.5</v>
      </c>
      <c r="M31" s="141" t="s">
        <v>153</v>
      </c>
      <c r="N31" s="141" t="s">
        <v>154</v>
      </c>
      <c r="O31" s="141" t="s">
        <v>50</v>
      </c>
      <c r="P31" s="141" t="s">
        <v>166</v>
      </c>
    </row>
    <row r="32" spans="1:19" x14ac:dyDescent="0.2">
      <c r="A32" s="222" t="s">
        <v>156</v>
      </c>
      <c r="B32" s="131">
        <v>1.5</v>
      </c>
      <c r="M32" s="141" t="s">
        <v>114</v>
      </c>
      <c r="N32" s="141" t="s">
        <v>115</v>
      </c>
      <c r="O32" s="141" t="s">
        <v>50</v>
      </c>
      <c r="P32" s="141" t="s">
        <v>137</v>
      </c>
    </row>
    <row r="33" spans="1:16" x14ac:dyDescent="0.2">
      <c r="A33" s="222" t="s">
        <v>164</v>
      </c>
      <c r="B33" s="131">
        <v>3</v>
      </c>
      <c r="M33" s="141" t="s">
        <v>110</v>
      </c>
      <c r="N33" s="141" t="s">
        <v>111</v>
      </c>
      <c r="O33" s="141" t="s">
        <v>49</v>
      </c>
      <c r="P33" s="141" t="s">
        <v>134</v>
      </c>
    </row>
    <row r="34" spans="1:16" x14ac:dyDescent="0.2">
      <c r="A34" s="223" t="s">
        <v>176</v>
      </c>
      <c r="B34" s="200">
        <v>28</v>
      </c>
      <c r="M34" s="141" t="s">
        <v>155</v>
      </c>
      <c r="N34" s="141" t="s">
        <v>156</v>
      </c>
      <c r="O34" s="141" t="s">
        <v>49</v>
      </c>
      <c r="P34" s="141" t="s">
        <v>167</v>
      </c>
    </row>
    <row r="35" spans="1:16" x14ac:dyDescent="0.2">
      <c r="A35" s="222" t="s">
        <v>147</v>
      </c>
      <c r="B35" s="131">
        <v>7</v>
      </c>
      <c r="M35" s="141" t="s">
        <v>127</v>
      </c>
      <c r="N35" s="141" t="s">
        <v>128</v>
      </c>
      <c r="O35" s="141" t="s">
        <v>49</v>
      </c>
      <c r="P35" s="141" t="s">
        <v>135</v>
      </c>
    </row>
    <row r="36" spans="1:16" x14ac:dyDescent="0.2">
      <c r="A36" s="222" t="s">
        <v>141</v>
      </c>
      <c r="B36" s="131">
        <v>8.5</v>
      </c>
      <c r="M36" s="141" t="s">
        <v>125</v>
      </c>
      <c r="N36" s="141" t="s">
        <v>126</v>
      </c>
      <c r="O36" s="141" t="s">
        <v>49</v>
      </c>
      <c r="P36" s="141" t="s">
        <v>132</v>
      </c>
    </row>
    <row r="37" spans="1:16" x14ac:dyDescent="0.2">
      <c r="A37" s="222" t="s">
        <v>111</v>
      </c>
      <c r="B37" s="131">
        <v>2.5</v>
      </c>
      <c r="M37" s="141" t="s">
        <v>159</v>
      </c>
      <c r="N37" s="141" t="s">
        <v>160</v>
      </c>
      <c r="O37" s="141" t="s">
        <v>50</v>
      </c>
      <c r="P37" s="141" t="s">
        <v>168</v>
      </c>
    </row>
    <row r="38" spans="1:16" x14ac:dyDescent="0.2">
      <c r="A38" s="222" t="s">
        <v>145</v>
      </c>
      <c r="B38" s="131">
        <v>4</v>
      </c>
      <c r="M38" s="141" t="s">
        <v>144</v>
      </c>
      <c r="N38" s="141" t="s">
        <v>145</v>
      </c>
      <c r="O38" s="141" t="s">
        <v>49</v>
      </c>
      <c r="P38" s="141" t="s">
        <v>152</v>
      </c>
    </row>
    <row r="39" spans="1:16" x14ac:dyDescent="0.2">
      <c r="A39" s="222" t="s">
        <v>139</v>
      </c>
      <c r="B39" s="131">
        <v>4</v>
      </c>
      <c r="M39" s="141" t="s">
        <v>138</v>
      </c>
      <c r="N39" s="141" t="s">
        <v>139</v>
      </c>
      <c r="O39" s="141" t="s">
        <v>49</v>
      </c>
      <c r="P39" s="141" t="s">
        <v>149</v>
      </c>
    </row>
    <row r="40" spans="1:16" x14ac:dyDescent="0.2">
      <c r="A40" s="222" t="s">
        <v>143</v>
      </c>
      <c r="B40" s="131">
        <v>2</v>
      </c>
      <c r="M40" s="141" t="s">
        <v>161</v>
      </c>
      <c r="N40" s="141" t="s">
        <v>162</v>
      </c>
      <c r="O40" s="141" t="s">
        <v>50</v>
      </c>
      <c r="P40" s="141" t="s">
        <v>169</v>
      </c>
    </row>
    <row r="41" spans="1:16" x14ac:dyDescent="0.2">
      <c r="A41" s="223" t="s">
        <v>191</v>
      </c>
      <c r="B41" s="200">
        <v>4</v>
      </c>
      <c r="M41" s="141" t="s">
        <v>142</v>
      </c>
      <c r="N41" s="141" t="s">
        <v>143</v>
      </c>
      <c r="O41" s="141" t="s">
        <v>49</v>
      </c>
      <c r="P41" s="141" t="s">
        <v>151</v>
      </c>
    </row>
    <row r="42" spans="1:16" x14ac:dyDescent="0.2">
      <c r="A42" s="222" t="s">
        <v>194</v>
      </c>
      <c r="B42" s="131">
        <v>0.5</v>
      </c>
      <c r="M42" s="141" t="s">
        <v>163</v>
      </c>
      <c r="N42" s="141" t="s">
        <v>164</v>
      </c>
      <c r="O42" s="141" t="s">
        <v>49</v>
      </c>
      <c r="P42" s="141" t="s">
        <v>170</v>
      </c>
    </row>
    <row r="43" spans="1:16" x14ac:dyDescent="0.2">
      <c r="A43" s="222" t="s">
        <v>196</v>
      </c>
      <c r="B43" s="131">
        <v>1</v>
      </c>
    </row>
    <row r="44" spans="1:16" x14ac:dyDescent="0.2">
      <c r="A44" s="222" t="s">
        <v>198</v>
      </c>
      <c r="B44" s="131">
        <v>0.5</v>
      </c>
    </row>
    <row r="45" spans="1:16" x14ac:dyDescent="0.2">
      <c r="A45" s="222" t="s">
        <v>200</v>
      </c>
      <c r="B45" s="131">
        <v>0.5</v>
      </c>
    </row>
    <row r="46" spans="1:16" x14ac:dyDescent="0.2">
      <c r="A46" s="222" t="s">
        <v>202</v>
      </c>
      <c r="B46" s="131">
        <v>1</v>
      </c>
    </row>
    <row r="47" spans="1:16" x14ac:dyDescent="0.2">
      <c r="A47" s="222" t="s">
        <v>204</v>
      </c>
      <c r="B47" s="131">
        <v>0.5</v>
      </c>
    </row>
    <row r="48" spans="1:16" x14ac:dyDescent="0.2">
      <c r="A48" s="201" t="s">
        <v>50</v>
      </c>
      <c r="B48" s="200">
        <v>4.5</v>
      </c>
    </row>
    <row r="49" spans="1:2" x14ac:dyDescent="0.2">
      <c r="A49" s="223" t="s">
        <v>175</v>
      </c>
      <c r="B49" s="200">
        <v>2</v>
      </c>
    </row>
    <row r="50" spans="1:2" x14ac:dyDescent="0.2">
      <c r="A50" s="222" t="s">
        <v>113</v>
      </c>
      <c r="B50" s="131">
        <v>0.5</v>
      </c>
    </row>
    <row r="51" spans="1:2" x14ac:dyDescent="0.2">
      <c r="A51" s="222" t="s">
        <v>115</v>
      </c>
      <c r="B51" s="131">
        <v>1.5</v>
      </c>
    </row>
    <row r="52" spans="1:2" x14ac:dyDescent="0.2">
      <c r="A52" s="223" t="s">
        <v>177</v>
      </c>
      <c r="B52" s="200">
        <v>2.5</v>
      </c>
    </row>
    <row r="53" spans="1:2" x14ac:dyDescent="0.2">
      <c r="A53" s="222" t="s">
        <v>154</v>
      </c>
      <c r="B53" s="131">
        <v>0.5</v>
      </c>
    </row>
    <row r="54" spans="1:2" x14ac:dyDescent="0.2">
      <c r="A54" s="222" t="s">
        <v>160</v>
      </c>
      <c r="B54" s="131">
        <v>1.5</v>
      </c>
    </row>
    <row r="55" spans="1:2" x14ac:dyDescent="0.2">
      <c r="A55" s="222" t="s">
        <v>162</v>
      </c>
      <c r="B55" s="131">
        <v>0.5</v>
      </c>
    </row>
    <row r="56" spans="1:2" x14ac:dyDescent="0.2">
      <c r="A56" s="136" t="s">
        <v>120</v>
      </c>
      <c r="B56" s="200">
        <v>67.5</v>
      </c>
    </row>
  </sheetData>
  <protectedRanges>
    <protectedRange sqref="N3:O3" name="Range1_36"/>
    <protectedRange sqref="N4:O16" name="Range1_37"/>
    <protectedRange sqref="N17:O17" name="Range1_38"/>
    <protectedRange sqref="Q4:Q16" name="Range1_44"/>
    <protectedRange sqref="M19:N19 M64:N64" name="Range1_2_2_2"/>
    <protectedRange sqref="M22:N22 M67:N67" name="Range1_3_2"/>
    <protectedRange sqref="M20:N20 M65:N65" name="Range1_4_2"/>
    <protectedRange sqref="M21:N21 M66:N66" name="Range1_5_2"/>
    <protectedRange sqref="M23:N23 M68:N68" name="Range1_2_3_2"/>
    <protectedRange sqref="M24:N24 M69:N69" name="Range1_6_2"/>
    <protectedRange sqref="M25:N26" name="Range1_7_4"/>
    <protectedRange sqref="M28:N28" name="Range1_15_2"/>
    <protectedRange sqref="M29" name="Range1_7_1_2"/>
    <protectedRange sqref="N29" name="Range1_8_1_2"/>
    <protectedRange sqref="M30 M27" name="Range1_9_1_2"/>
    <protectedRange sqref="M31" name="Range1_10_1_2"/>
    <protectedRange sqref="M32:N32" name="Range1_16_2"/>
    <protectedRange sqref="M33" name="Range1_7_2_2"/>
    <protectedRange sqref="N33" name="Range1_8_2_2"/>
    <protectedRange sqref="M34" name="Range1_10_2_2"/>
    <protectedRange sqref="M35" name="Range1_9_2_2"/>
    <protectedRange sqref="M38:N38" name="Range1_17_1"/>
    <protectedRange sqref="M37" name="Range1_9_3_1"/>
    <protectedRange sqref="M39" name="Range1_9_4_1"/>
    <protectedRange sqref="M41:N41" name="Range1_31_1"/>
    <protectedRange sqref="M42:N44" name="Range1_32_1"/>
    <protectedRange sqref="M45:N46 M58:N59" name="Range1_33_1"/>
    <protectedRange sqref="M47:N48 M60:N61" name="Range1_34_1"/>
    <protectedRange sqref="M49:N50 M62:N63" name="Range1_35_1"/>
    <protectedRange sqref="M51:N51" name="Range1_36_2"/>
    <protectedRange sqref="M52:N52" name="Range1_37_2"/>
    <protectedRange sqref="M53:N53" name="Range1_38_2"/>
    <protectedRange sqref="M54:N54" name="Range1_39_1"/>
    <protectedRange sqref="M55:N55" name="Range1_40_1"/>
    <protectedRange sqref="M56:N56" name="Range1_41_1"/>
    <protectedRange sqref="M57:N57" name="Range1_42_1"/>
    <protectedRange sqref="O19:O40 O64:O69" name="Range1_1"/>
    <protectedRange sqref="P23 P68" name="Range1_8_3"/>
    <protectedRange sqref="P19 P64" name="Range1_9_5"/>
    <protectedRange sqref="P24 P69" name="Range1_10_3"/>
    <protectedRange sqref="P22 P67" name="Range1_11_1"/>
    <protectedRange sqref="P20 P65" name="Range1_12_1"/>
    <protectedRange sqref="P25" name="Range1_13_1"/>
    <protectedRange sqref="P26 P21 P66" name="Range1_14_1"/>
    <protectedRange sqref="P36 P40" name="Range1_19_1"/>
    <protectedRange sqref="P27" name="Range1_20_1"/>
    <protectedRange sqref="P35" name="Range1_21_1"/>
    <protectedRange sqref="P37" name="Range1_22"/>
    <protectedRange sqref="P28" name="Range1_23_1"/>
    <protectedRange sqref="P32" name="Range1_24_1"/>
    <protectedRange sqref="P38" name="Range1_25"/>
    <protectedRange sqref="P29" name="Range1_26_1"/>
    <protectedRange sqref="P33" name="Range1_27_1"/>
    <protectedRange sqref="P30 P39" name="Range1_28_1"/>
    <protectedRange sqref="P31" name="Range1_29_1"/>
    <protectedRange sqref="P34" name="Range1_30_1"/>
    <protectedRange sqref="P49 P62" name="Range1_43"/>
    <protectedRange sqref="P52" name="Range1_44_1"/>
    <protectedRange sqref="P54" name="Range1_45_1"/>
    <protectedRange sqref="P53" name="Range1_46_1"/>
    <protectedRange sqref="P56" name="Range1_47_1"/>
    <protectedRange sqref="P55" name="Range1_48_1"/>
    <protectedRange sqref="P57" name="Range1_49_1"/>
    <protectedRange sqref="P44" name="Range1_50"/>
    <protectedRange sqref="P41" name="Range1_51"/>
    <protectedRange sqref="P43" name="Range1_52"/>
    <protectedRange sqref="P48 P61" name="Range1_53"/>
    <protectedRange sqref="P42" name="Range1_54"/>
    <protectedRange sqref="P47 P60" name="Range1_55"/>
    <protectedRange sqref="P45 P58" name="Range1_56"/>
    <protectedRange sqref="P50 P63" name="Range1_57"/>
    <protectedRange sqref="P46 P59" name="Range1_58"/>
    <protectedRange sqref="P51" name="Range1_59_1"/>
  </protectedRanges>
  <sortState xmlns:xlrd2="http://schemas.microsoft.com/office/spreadsheetml/2017/richdata2" ref="M19:P42">
    <sortCondition ref="N19:N42"/>
  </sortState>
  <dataValidations count="3">
    <dataValidation allowBlank="1" showInputMessage="1" showErrorMessage="1" prompt="TDOT to enter this information after invoice submittal." sqref="P19:P42" xr:uid="{C409A639-BDD6-4E93-B6FD-76B3331B2D58}"/>
    <dataValidation allowBlank="1" showInputMessage="1" showErrorMessage="1" promptTitle="PIN" prompt="Enter the Project Identification Number (PIN) for the project being charged. If a project is connected to another funding PIN, reference both PINs in the cell showing the general reference PIN first and the funding PIN in parentheses next to it." sqref="M19:M42" xr:uid="{0B4C916E-53DA-4A7B-934D-EDD1AF7F444C}"/>
    <dataValidation allowBlank="1" showInputMessage="1" showErrorMessage="1" promptTitle="PE Number" prompt="Enter the state project number (i.e. XXXXX-XXXX-XX)" sqref="N19:N26 N36 N32:N33 N28:N29 N38 N40:N42" xr:uid="{CCF448B0-6DDD-4756-8737-1D4AFE2512CC}"/>
  </dataValidations>
  <pageMargins left="0.7" right="0.7" top="0.75" bottom="0.75" header="0.3" footer="0.3"/>
  <pageSetup orientation="portrait" horizontalDpi="360" verticalDpi="36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33BF51-1AA9-404B-A39E-2F97D0006B21}">
  <sheetPr>
    <tabColor theme="9" tint="0.79998168889431442"/>
  </sheetPr>
  <dimension ref="A1:E27"/>
  <sheetViews>
    <sheetView tabSelected="1" workbookViewId="0">
      <selection activeCell="A2" sqref="A2"/>
    </sheetView>
  </sheetViews>
  <sheetFormatPr defaultRowHeight="12.75" x14ac:dyDescent="0.2"/>
  <cols>
    <col min="2" max="2" width="10.7109375" bestFit="1" customWidth="1"/>
    <col min="3" max="3" width="14.42578125" bestFit="1" customWidth="1"/>
    <col min="4" max="4" width="8.28515625" bestFit="1" customWidth="1"/>
    <col min="5" max="5" width="12.140625" bestFit="1" customWidth="1"/>
  </cols>
  <sheetData>
    <row r="1" spans="1:5" x14ac:dyDescent="0.2">
      <c r="A1" s="130" t="s">
        <v>229</v>
      </c>
    </row>
    <row r="3" spans="1:5" ht="25.5" x14ac:dyDescent="0.2">
      <c r="B3" s="123" t="s">
        <v>104</v>
      </c>
      <c r="C3" s="123" t="s">
        <v>108</v>
      </c>
      <c r="D3" s="124" t="s">
        <v>103</v>
      </c>
      <c r="E3" s="123" t="s">
        <v>75</v>
      </c>
    </row>
    <row r="4" spans="1:5" x14ac:dyDescent="0.2">
      <c r="B4" s="141" t="s">
        <v>129</v>
      </c>
      <c r="C4" s="141" t="s">
        <v>130</v>
      </c>
      <c r="D4" s="141" t="s">
        <v>49</v>
      </c>
      <c r="E4" s="141" t="s">
        <v>133</v>
      </c>
    </row>
    <row r="5" spans="1:5" x14ac:dyDescent="0.2">
      <c r="B5" s="141" t="s">
        <v>146</v>
      </c>
      <c r="C5" s="141" t="s">
        <v>147</v>
      </c>
      <c r="D5" s="141" t="s">
        <v>49</v>
      </c>
      <c r="E5" s="141" t="s">
        <v>148</v>
      </c>
    </row>
    <row r="6" spans="1:5" x14ac:dyDescent="0.2">
      <c r="B6" s="141" t="s">
        <v>123</v>
      </c>
      <c r="C6" s="141" t="s">
        <v>124</v>
      </c>
      <c r="D6" s="141" t="s">
        <v>49</v>
      </c>
      <c r="E6" s="141" t="s">
        <v>131</v>
      </c>
    </row>
    <row r="7" spans="1:5" x14ac:dyDescent="0.2">
      <c r="B7" s="141" t="s">
        <v>140</v>
      </c>
      <c r="C7" s="141" t="s">
        <v>141</v>
      </c>
      <c r="D7" s="141" t="s">
        <v>49</v>
      </c>
      <c r="E7" s="141" t="s">
        <v>150</v>
      </c>
    </row>
    <row r="8" spans="1:5" x14ac:dyDescent="0.2">
      <c r="B8" s="141" t="s">
        <v>112</v>
      </c>
      <c r="C8" s="141" t="s">
        <v>113</v>
      </c>
      <c r="D8" s="141" t="s">
        <v>50</v>
      </c>
      <c r="E8" s="141" t="s">
        <v>136</v>
      </c>
    </row>
    <row r="9" spans="1:5" x14ac:dyDescent="0.2">
      <c r="B9" s="141" t="s">
        <v>193</v>
      </c>
      <c r="C9" s="141" t="s">
        <v>194</v>
      </c>
      <c r="D9" s="141" t="s">
        <v>49</v>
      </c>
      <c r="E9" s="141" t="s">
        <v>205</v>
      </c>
    </row>
    <row r="10" spans="1:5" x14ac:dyDescent="0.2">
      <c r="B10" s="141" t="s">
        <v>195</v>
      </c>
      <c r="C10" s="141" t="s">
        <v>196</v>
      </c>
      <c r="D10" s="141" t="s">
        <v>49</v>
      </c>
      <c r="E10" s="141" t="s">
        <v>206</v>
      </c>
    </row>
    <row r="11" spans="1:5" x14ac:dyDescent="0.2">
      <c r="B11" s="141" t="s">
        <v>197</v>
      </c>
      <c r="C11" s="141" t="s">
        <v>198</v>
      </c>
      <c r="D11" s="141" t="s">
        <v>49</v>
      </c>
      <c r="E11" s="141" t="s">
        <v>207</v>
      </c>
    </row>
    <row r="12" spans="1:5" x14ac:dyDescent="0.2">
      <c r="B12" s="141" t="s">
        <v>199</v>
      </c>
      <c r="C12" s="141" t="s">
        <v>200</v>
      </c>
      <c r="D12" s="141" t="s">
        <v>49</v>
      </c>
      <c r="E12" s="141" t="s">
        <v>208</v>
      </c>
    </row>
    <row r="13" spans="1:5" x14ac:dyDescent="0.2">
      <c r="B13" s="141" t="s">
        <v>201</v>
      </c>
      <c r="C13" s="141" t="s">
        <v>202</v>
      </c>
      <c r="D13" s="141" t="s">
        <v>49</v>
      </c>
      <c r="E13" s="141" t="s">
        <v>209</v>
      </c>
    </row>
    <row r="14" spans="1:5" x14ac:dyDescent="0.2">
      <c r="B14" s="141" t="s">
        <v>203</v>
      </c>
      <c r="C14" s="141" t="s">
        <v>204</v>
      </c>
      <c r="D14" s="141" t="s">
        <v>49</v>
      </c>
      <c r="E14" s="141" t="s">
        <v>210</v>
      </c>
    </row>
    <row r="15" spans="1:5" x14ac:dyDescent="0.2">
      <c r="B15" s="141" t="s">
        <v>157</v>
      </c>
      <c r="C15" s="141" t="s">
        <v>158</v>
      </c>
      <c r="D15" s="141" t="s">
        <v>49</v>
      </c>
      <c r="E15" s="141" t="s">
        <v>165</v>
      </c>
    </row>
    <row r="16" spans="1:5" x14ac:dyDescent="0.2">
      <c r="B16" s="141" t="s">
        <v>153</v>
      </c>
      <c r="C16" s="141" t="s">
        <v>154</v>
      </c>
      <c r="D16" s="141" t="s">
        <v>50</v>
      </c>
      <c r="E16" s="141" t="s">
        <v>166</v>
      </c>
    </row>
    <row r="17" spans="2:5" x14ac:dyDescent="0.2">
      <c r="B17" s="141" t="s">
        <v>114</v>
      </c>
      <c r="C17" s="141" t="s">
        <v>115</v>
      </c>
      <c r="D17" s="141" t="s">
        <v>50</v>
      </c>
      <c r="E17" s="141" t="s">
        <v>137</v>
      </c>
    </row>
    <row r="18" spans="2:5" x14ac:dyDescent="0.2">
      <c r="B18" s="141" t="s">
        <v>110</v>
      </c>
      <c r="C18" s="141" t="s">
        <v>111</v>
      </c>
      <c r="D18" s="141" t="s">
        <v>49</v>
      </c>
      <c r="E18" s="141" t="s">
        <v>134</v>
      </c>
    </row>
    <row r="19" spans="2:5" x14ac:dyDescent="0.2">
      <c r="B19" s="141" t="s">
        <v>155</v>
      </c>
      <c r="C19" s="141" t="s">
        <v>156</v>
      </c>
      <c r="D19" s="141" t="s">
        <v>49</v>
      </c>
      <c r="E19" s="141" t="s">
        <v>167</v>
      </c>
    </row>
    <row r="20" spans="2:5" x14ac:dyDescent="0.2">
      <c r="B20" s="141" t="s">
        <v>127</v>
      </c>
      <c r="C20" s="141" t="s">
        <v>128</v>
      </c>
      <c r="D20" s="141" t="s">
        <v>49</v>
      </c>
      <c r="E20" s="141" t="s">
        <v>135</v>
      </c>
    </row>
    <row r="21" spans="2:5" x14ac:dyDescent="0.2">
      <c r="B21" s="141" t="s">
        <v>125</v>
      </c>
      <c r="C21" s="141" t="s">
        <v>126</v>
      </c>
      <c r="D21" s="141" t="s">
        <v>49</v>
      </c>
      <c r="E21" s="141" t="s">
        <v>132</v>
      </c>
    </row>
    <row r="22" spans="2:5" x14ac:dyDescent="0.2">
      <c r="B22" s="141" t="s">
        <v>159</v>
      </c>
      <c r="C22" s="141" t="s">
        <v>160</v>
      </c>
      <c r="D22" s="141" t="s">
        <v>50</v>
      </c>
      <c r="E22" s="141" t="s">
        <v>168</v>
      </c>
    </row>
    <row r="23" spans="2:5" x14ac:dyDescent="0.2">
      <c r="B23" s="141" t="s">
        <v>144</v>
      </c>
      <c r="C23" s="141" t="s">
        <v>145</v>
      </c>
      <c r="D23" s="141" t="s">
        <v>49</v>
      </c>
      <c r="E23" s="141" t="s">
        <v>152</v>
      </c>
    </row>
    <row r="24" spans="2:5" x14ac:dyDescent="0.2">
      <c r="B24" s="141" t="s">
        <v>138</v>
      </c>
      <c r="C24" s="141" t="s">
        <v>139</v>
      </c>
      <c r="D24" s="141" t="s">
        <v>49</v>
      </c>
      <c r="E24" s="141" t="s">
        <v>149</v>
      </c>
    </row>
    <row r="25" spans="2:5" x14ac:dyDescent="0.2">
      <c r="B25" s="141" t="s">
        <v>161</v>
      </c>
      <c r="C25" s="141" t="s">
        <v>162</v>
      </c>
      <c r="D25" s="141" t="s">
        <v>50</v>
      </c>
      <c r="E25" s="141" t="s">
        <v>169</v>
      </c>
    </row>
    <row r="26" spans="2:5" x14ac:dyDescent="0.2">
      <c r="B26" s="141" t="s">
        <v>142</v>
      </c>
      <c r="C26" s="141" t="s">
        <v>143</v>
      </c>
      <c r="D26" s="141" t="s">
        <v>49</v>
      </c>
      <c r="E26" s="141" t="s">
        <v>151</v>
      </c>
    </row>
    <row r="27" spans="2:5" x14ac:dyDescent="0.2">
      <c r="B27" s="141" t="s">
        <v>163</v>
      </c>
      <c r="C27" s="141" t="s">
        <v>164</v>
      </c>
      <c r="D27" s="141" t="s">
        <v>49</v>
      </c>
      <c r="E27" s="141" t="s">
        <v>170</v>
      </c>
    </row>
  </sheetData>
  <protectedRanges>
    <protectedRange sqref="B4:C4" name="Range1_2_2_2"/>
    <protectedRange sqref="B7:C7" name="Range1_3_2"/>
    <protectedRange sqref="B5:C5" name="Range1_4_2"/>
    <protectedRange sqref="B6:C6" name="Range1_5_2"/>
    <protectedRange sqref="B8:C8" name="Range1_2_3_2"/>
    <protectedRange sqref="B9:C9" name="Range1_6_2"/>
    <protectedRange sqref="B10:C11" name="Range1_7_4"/>
    <protectedRange sqref="B13:C13" name="Range1_15_2"/>
    <protectedRange sqref="B14" name="Range1_7_1_2"/>
    <protectedRange sqref="C14" name="Range1_8_1_2"/>
    <protectedRange sqref="B15 B12" name="Range1_9_1_2"/>
    <protectedRange sqref="B16" name="Range1_10_1_2"/>
    <protectedRange sqref="B17:C17" name="Range1_16_2"/>
    <protectedRange sqref="B18" name="Range1_7_2_2"/>
    <protectedRange sqref="C18" name="Range1_8_2_2"/>
    <protectedRange sqref="B19" name="Range1_10_2_2"/>
    <protectedRange sqref="B20" name="Range1_9_2_2"/>
    <protectedRange sqref="B23:C23" name="Range1_17_1"/>
    <protectedRange sqref="B22" name="Range1_9_3_1"/>
    <protectedRange sqref="B24" name="Range1_9_4_1"/>
    <protectedRange sqref="B26:C26" name="Range1_31_1"/>
    <protectedRange sqref="B27:C27" name="Range1_32_1"/>
    <protectedRange sqref="D4:D25" name="Range1_1"/>
    <protectedRange sqref="E8" name="Range1_8_3"/>
    <protectedRange sqref="E4" name="Range1_9_5"/>
    <protectedRange sqref="E9" name="Range1_10_3"/>
    <protectedRange sqref="E7" name="Range1_11_1"/>
    <protectedRange sqref="E5" name="Range1_12_1"/>
    <protectedRange sqref="E10" name="Range1_13_1"/>
    <protectedRange sqref="E11 E6" name="Range1_14_1"/>
    <protectedRange sqref="E21 E25" name="Range1_19_1"/>
    <protectedRange sqref="E12" name="Range1_20_1"/>
    <protectedRange sqref="E20" name="Range1_21_1"/>
    <protectedRange sqref="E22" name="Range1_22"/>
    <protectedRange sqref="E13" name="Range1_23_1"/>
    <protectedRange sqref="E17" name="Range1_24_1"/>
    <protectedRange sqref="E23" name="Range1_25"/>
    <protectedRange sqref="E14" name="Range1_26_1"/>
    <protectedRange sqref="E18" name="Range1_27_1"/>
    <protectedRange sqref="E15 E24" name="Range1_28_1"/>
    <protectedRange sqref="E16" name="Range1_29_1"/>
    <protectedRange sqref="E19" name="Range1_30_1"/>
    <protectedRange sqref="E26" name="Range1_51"/>
    <protectedRange sqref="E27" name="Range1_54"/>
  </protectedRanges>
  <dataValidations count="3">
    <dataValidation allowBlank="1" showInputMessage="1" showErrorMessage="1" promptTitle="PE Number" prompt="Enter the state project number (i.e. XXXXX-XXXX-XX)" sqref="C4:C11 C21 C17:C18 C13:C14 C23 C25:C27" xr:uid="{1F3FF5A0-ED93-491B-BBAC-1C84006FE6C3}"/>
    <dataValidation allowBlank="1" showInputMessage="1" showErrorMessage="1" promptTitle="PIN" prompt="Enter the Project Identification Number (PIN) for the project being charged. If a project is connected to another funding PIN, reference both PINs in the cell showing the general reference PIN first and the funding PIN in parentheses next to it." sqref="B4:B27" xr:uid="{63064269-1F4E-4260-9413-CECA29906053}"/>
    <dataValidation allowBlank="1" showInputMessage="1" showErrorMessage="1" prompt="TDOT to enter this information after invoice submittal." sqref="E4:E27" xr:uid="{26B4DF52-67F0-44CE-83E4-0873433DDA7C}"/>
  </dataValidation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2AFD248-AABF-4AA3-A3C7-EF08BF4AD8FB}">
  <sheetPr>
    <tabColor theme="9" tint="0.79998168889431442"/>
  </sheetPr>
  <dimension ref="A1:K76"/>
  <sheetViews>
    <sheetView topLeftCell="A34" workbookViewId="0">
      <selection activeCell="F65" sqref="F65"/>
    </sheetView>
  </sheetViews>
  <sheetFormatPr defaultRowHeight="12.75" x14ac:dyDescent="0.2"/>
  <cols>
    <col min="1" max="2" width="11.140625" bestFit="1" customWidth="1"/>
    <col min="3" max="3" width="12.85546875" bestFit="1" customWidth="1"/>
    <col min="5" max="5" width="12.85546875" bestFit="1" customWidth="1"/>
    <col min="6" max="6" width="61.140625" customWidth="1"/>
  </cols>
  <sheetData>
    <row r="1" spans="1:2" x14ac:dyDescent="0.2">
      <c r="A1" s="187" t="s">
        <v>226</v>
      </c>
    </row>
    <row r="2" spans="1:2" x14ac:dyDescent="0.2">
      <c r="A2" s="187"/>
    </row>
    <row r="3" spans="1:2" x14ac:dyDescent="0.2">
      <c r="A3" t="s">
        <v>49</v>
      </c>
      <c r="B3" t="s">
        <v>133</v>
      </c>
    </row>
    <row r="4" spans="1:2" x14ac:dyDescent="0.2">
      <c r="A4" t="s">
        <v>49</v>
      </c>
      <c r="B4" t="s">
        <v>131</v>
      </c>
    </row>
    <row r="5" spans="1:2" x14ac:dyDescent="0.2">
      <c r="A5" t="s">
        <v>49</v>
      </c>
      <c r="B5" t="s">
        <v>134</v>
      </c>
    </row>
    <row r="6" spans="1:2" x14ac:dyDescent="0.2">
      <c r="A6" t="s">
        <v>49</v>
      </c>
      <c r="B6" t="s">
        <v>135</v>
      </c>
    </row>
    <row r="7" spans="1:2" x14ac:dyDescent="0.2">
      <c r="A7" t="s">
        <v>49</v>
      </c>
      <c r="B7" t="s">
        <v>132</v>
      </c>
    </row>
    <row r="8" spans="1:2" x14ac:dyDescent="0.2">
      <c r="A8" t="s">
        <v>49</v>
      </c>
      <c r="B8" t="s">
        <v>133</v>
      </c>
    </row>
    <row r="9" spans="1:2" x14ac:dyDescent="0.2">
      <c r="A9" t="s">
        <v>49</v>
      </c>
      <c r="B9" t="s">
        <v>148</v>
      </c>
    </row>
    <row r="10" spans="1:2" x14ac:dyDescent="0.2">
      <c r="A10" t="s">
        <v>49</v>
      </c>
      <c r="B10" t="s">
        <v>131</v>
      </c>
    </row>
    <row r="11" spans="1:2" x14ac:dyDescent="0.2">
      <c r="A11" t="s">
        <v>49</v>
      </c>
      <c r="B11" t="s">
        <v>165</v>
      </c>
    </row>
    <row r="12" spans="1:2" x14ac:dyDescent="0.2">
      <c r="A12" t="s">
        <v>49</v>
      </c>
      <c r="B12" t="s">
        <v>134</v>
      </c>
    </row>
    <row r="13" spans="1:2" x14ac:dyDescent="0.2">
      <c r="A13" t="s">
        <v>49</v>
      </c>
      <c r="B13" t="s">
        <v>167</v>
      </c>
    </row>
    <row r="14" spans="1:2" x14ac:dyDescent="0.2">
      <c r="A14" t="s">
        <v>49</v>
      </c>
      <c r="B14" t="s">
        <v>170</v>
      </c>
    </row>
    <row r="15" spans="1:2" x14ac:dyDescent="0.2">
      <c r="A15" t="s">
        <v>49</v>
      </c>
      <c r="B15" t="s">
        <v>148</v>
      </c>
    </row>
    <row r="16" spans="1:2" x14ac:dyDescent="0.2">
      <c r="A16" t="s">
        <v>49</v>
      </c>
      <c r="B16" t="s">
        <v>150</v>
      </c>
    </row>
    <row r="17" spans="1:2" x14ac:dyDescent="0.2">
      <c r="A17" t="s">
        <v>49</v>
      </c>
      <c r="B17" t="s">
        <v>134</v>
      </c>
    </row>
    <row r="18" spans="1:2" x14ac:dyDescent="0.2">
      <c r="A18" t="s">
        <v>49</v>
      </c>
      <c r="B18" t="s">
        <v>152</v>
      </c>
    </row>
    <row r="19" spans="1:2" x14ac:dyDescent="0.2">
      <c r="A19" t="s">
        <v>49</v>
      </c>
      <c r="B19" t="s">
        <v>149</v>
      </c>
    </row>
    <row r="20" spans="1:2" x14ac:dyDescent="0.2">
      <c r="A20" t="s">
        <v>49</v>
      </c>
      <c r="B20" t="s">
        <v>151</v>
      </c>
    </row>
    <row r="21" spans="1:2" x14ac:dyDescent="0.2">
      <c r="A21" t="s">
        <v>49</v>
      </c>
      <c r="B21" t="s">
        <v>205</v>
      </c>
    </row>
    <row r="22" spans="1:2" x14ac:dyDescent="0.2">
      <c r="A22" t="s">
        <v>49</v>
      </c>
      <c r="B22" t="s">
        <v>206</v>
      </c>
    </row>
    <row r="23" spans="1:2" x14ac:dyDescent="0.2">
      <c r="A23" t="s">
        <v>49</v>
      </c>
      <c r="B23" t="s">
        <v>207</v>
      </c>
    </row>
    <row r="24" spans="1:2" x14ac:dyDescent="0.2">
      <c r="A24" t="s">
        <v>49</v>
      </c>
      <c r="B24" t="s">
        <v>208</v>
      </c>
    </row>
    <row r="25" spans="1:2" x14ac:dyDescent="0.2">
      <c r="A25" t="s">
        <v>49</v>
      </c>
      <c r="B25" t="s">
        <v>209</v>
      </c>
    </row>
    <row r="26" spans="1:2" x14ac:dyDescent="0.2">
      <c r="A26" t="s">
        <v>49</v>
      </c>
      <c r="B26" t="s">
        <v>210</v>
      </c>
    </row>
    <row r="27" spans="1:2" x14ac:dyDescent="0.2">
      <c r="A27" t="s">
        <v>50</v>
      </c>
      <c r="B27" t="s">
        <v>136</v>
      </c>
    </row>
    <row r="28" spans="1:2" x14ac:dyDescent="0.2">
      <c r="A28" t="s">
        <v>50</v>
      </c>
      <c r="B28" t="s">
        <v>137</v>
      </c>
    </row>
    <row r="29" spans="1:2" x14ac:dyDescent="0.2">
      <c r="A29" t="s">
        <v>50</v>
      </c>
      <c r="B29" t="s">
        <v>166</v>
      </c>
    </row>
    <row r="30" spans="1:2" x14ac:dyDescent="0.2">
      <c r="A30" t="s">
        <v>50</v>
      </c>
      <c r="B30" t="s">
        <v>168</v>
      </c>
    </row>
    <row r="31" spans="1:2" x14ac:dyDescent="0.2">
      <c r="A31" t="s">
        <v>50</v>
      </c>
      <c r="B31" t="s">
        <v>169</v>
      </c>
    </row>
    <row r="34" spans="1:11" x14ac:dyDescent="0.2">
      <c r="A34" s="187" t="s">
        <v>225</v>
      </c>
      <c r="G34" t="s">
        <v>220</v>
      </c>
    </row>
    <row r="35" spans="1:11" x14ac:dyDescent="0.2">
      <c r="A35" s="187"/>
    </row>
    <row r="36" spans="1:11" x14ac:dyDescent="0.2">
      <c r="A36" s="187"/>
      <c r="H36" s="187"/>
    </row>
    <row r="37" spans="1:11" x14ac:dyDescent="0.2">
      <c r="A37" s="187"/>
    </row>
    <row r="38" spans="1:11" x14ac:dyDescent="0.2">
      <c r="A38" s="187"/>
    </row>
    <row r="39" spans="1:11" x14ac:dyDescent="0.2">
      <c r="A39" s="187"/>
      <c r="H39" s="187"/>
      <c r="K39" s="210"/>
    </row>
    <row r="40" spans="1:11" x14ac:dyDescent="0.2">
      <c r="A40" s="187"/>
    </row>
    <row r="41" spans="1:11" x14ac:dyDescent="0.2">
      <c r="A41" s="187" t="s">
        <v>223</v>
      </c>
    </row>
    <row r="42" spans="1:11" x14ac:dyDescent="0.2">
      <c r="A42" s="187"/>
    </row>
    <row r="43" spans="1:11" x14ac:dyDescent="0.2">
      <c r="A43" s="187" t="s">
        <v>221</v>
      </c>
    </row>
    <row r="44" spans="1:11" x14ac:dyDescent="0.2">
      <c r="A44" s="187"/>
      <c r="B44" s="187" t="s">
        <v>215</v>
      </c>
    </row>
    <row r="45" spans="1:11" x14ac:dyDescent="0.2">
      <c r="A45" s="187"/>
      <c r="B45" s="226">
        <f>SUMIFS('Total Labor Summary'!$I:$I,'Total Labor Summary'!$F:$F,$B1)</f>
        <v>0</v>
      </c>
    </row>
    <row r="46" spans="1:11" x14ac:dyDescent="0.2">
      <c r="A46" s="187"/>
      <c r="B46" s="209"/>
    </row>
    <row r="47" spans="1:11" x14ac:dyDescent="0.2">
      <c r="A47" s="187" t="s">
        <v>222</v>
      </c>
    </row>
    <row r="48" spans="1:11" x14ac:dyDescent="0.2">
      <c r="A48" s="187"/>
    </row>
    <row r="49" spans="1:4" x14ac:dyDescent="0.2">
      <c r="A49" s="187" t="s">
        <v>224</v>
      </c>
    </row>
    <row r="52" spans="1:4" x14ac:dyDescent="0.2">
      <c r="B52" s="187"/>
      <c r="C52" s="187" t="s">
        <v>215</v>
      </c>
    </row>
    <row r="53" spans="1:4" x14ac:dyDescent="0.2">
      <c r="A53" t="s">
        <v>49</v>
      </c>
      <c r="B53" t="s">
        <v>152</v>
      </c>
      <c r="C53" s="209">
        <f>SUMIFS('Total Labor Summary'!$I:$I,'Total Labor Summary'!$F:$F,$B53)</f>
        <v>112</v>
      </c>
      <c r="D53" s="210"/>
    </row>
    <row r="54" spans="1:4" x14ac:dyDescent="0.2">
      <c r="A54" t="s">
        <v>49</v>
      </c>
      <c r="B54" t="s">
        <v>151</v>
      </c>
      <c r="C54" s="209">
        <f>SUMIFS('Total Labor Summary'!$I:$I,'Total Labor Summary'!$F:$F,$B54)</f>
        <v>56</v>
      </c>
      <c r="D54" s="210"/>
    </row>
    <row r="55" spans="1:4" x14ac:dyDescent="0.2">
      <c r="A55" t="s">
        <v>49</v>
      </c>
      <c r="B55" t="s">
        <v>206</v>
      </c>
      <c r="C55" s="209">
        <f>SUMIFS('Total Labor Summary'!$I:$I,'Total Labor Summary'!$F:$F,$B55)</f>
        <v>30</v>
      </c>
      <c r="D55" s="210"/>
    </row>
    <row r="56" spans="1:4" x14ac:dyDescent="0.2">
      <c r="A56" t="s">
        <v>49</v>
      </c>
      <c r="B56" t="s">
        <v>150</v>
      </c>
      <c r="C56" s="209">
        <f>SUMIFS('Total Labor Summary'!$I:$I,'Total Labor Summary'!$F:$F,$B56)</f>
        <v>238</v>
      </c>
      <c r="D56" s="210"/>
    </row>
    <row r="57" spans="1:4" x14ac:dyDescent="0.2">
      <c r="A57" t="s">
        <v>49</v>
      </c>
      <c r="B57" t="s">
        <v>131</v>
      </c>
      <c r="C57" s="209">
        <f>SUMIFS('Total Labor Summary'!$I:$I,'Total Labor Summary'!$F:$F,$B57)</f>
        <v>570</v>
      </c>
      <c r="D57" s="210"/>
    </row>
    <row r="58" spans="1:4" x14ac:dyDescent="0.2">
      <c r="A58" t="s">
        <v>49</v>
      </c>
      <c r="B58" t="s">
        <v>167</v>
      </c>
      <c r="C58" s="209">
        <f>SUMIFS('Total Labor Summary'!$I:$I,'Total Labor Summary'!$F:$F,$B58)</f>
        <v>54</v>
      </c>
      <c r="D58" s="210"/>
    </row>
    <row r="59" spans="1:4" x14ac:dyDescent="0.2">
      <c r="A59" t="s">
        <v>49</v>
      </c>
      <c r="B59" t="s">
        <v>209</v>
      </c>
      <c r="C59" s="209">
        <f>SUMIFS('Total Labor Summary'!$I:$I,'Total Labor Summary'!$F:$F,$B59)</f>
        <v>30</v>
      </c>
      <c r="D59" s="210"/>
    </row>
    <row r="60" spans="1:4" x14ac:dyDescent="0.2">
      <c r="A60" t="s">
        <v>49</v>
      </c>
      <c r="B60" t="s">
        <v>133</v>
      </c>
      <c r="C60" s="209">
        <f>SUMIFS('Total Labor Summary'!$I:$I,'Total Labor Summary'!$F:$F,$B60)</f>
        <v>222</v>
      </c>
      <c r="D60" s="210"/>
    </row>
    <row r="61" spans="1:4" x14ac:dyDescent="0.2">
      <c r="A61" t="s">
        <v>49</v>
      </c>
      <c r="B61" t="s">
        <v>132</v>
      </c>
      <c r="C61" s="209">
        <f>SUMIFS('Total Labor Summary'!$I:$I,'Total Labor Summary'!$F:$F,$B61)</f>
        <v>78</v>
      </c>
      <c r="D61" s="210"/>
    </row>
    <row r="62" spans="1:4" x14ac:dyDescent="0.2">
      <c r="A62" t="s">
        <v>49</v>
      </c>
      <c r="B62" t="s">
        <v>208</v>
      </c>
      <c r="C62" s="209">
        <f>SUMIFS('Total Labor Summary'!$I:$I,'Total Labor Summary'!$F:$F,$B62)</f>
        <v>15</v>
      </c>
      <c r="D62" s="210"/>
    </row>
    <row r="63" spans="1:4" x14ac:dyDescent="0.2">
      <c r="A63" t="s">
        <v>49</v>
      </c>
      <c r="B63" t="s">
        <v>134</v>
      </c>
      <c r="C63" s="209">
        <f>SUMIFS('Total Labor Summary'!$I:$I,'Total Labor Summary'!$F:$F,$B63)</f>
        <v>346</v>
      </c>
      <c r="D63" s="210"/>
    </row>
    <row r="64" spans="1:4" x14ac:dyDescent="0.2">
      <c r="A64" t="s">
        <v>49</v>
      </c>
      <c r="B64" t="s">
        <v>210</v>
      </c>
      <c r="C64" s="209">
        <f>SUMIFS('Total Labor Summary'!$I:$I,'Total Labor Summary'!$F:$F,$B64)</f>
        <v>15</v>
      </c>
      <c r="D64" s="210"/>
    </row>
    <row r="65" spans="1:4" x14ac:dyDescent="0.2">
      <c r="A65" t="s">
        <v>49</v>
      </c>
      <c r="B65" t="s">
        <v>165</v>
      </c>
      <c r="C65" s="209">
        <f>SUMIFS('Total Labor Summary'!$I:$I,'Total Labor Summary'!$F:$F,$B65)</f>
        <v>18</v>
      </c>
      <c r="D65" s="210"/>
    </row>
    <row r="66" spans="1:4" x14ac:dyDescent="0.2">
      <c r="A66" t="s">
        <v>49</v>
      </c>
      <c r="B66" t="s">
        <v>149</v>
      </c>
      <c r="C66" s="209">
        <f>SUMIFS('Total Labor Summary'!$I:$I,'Total Labor Summary'!$F:$F,$B66)</f>
        <v>112</v>
      </c>
      <c r="D66" s="210"/>
    </row>
    <row r="67" spans="1:4" x14ac:dyDescent="0.2">
      <c r="A67" t="s">
        <v>49</v>
      </c>
      <c r="B67" t="s">
        <v>205</v>
      </c>
      <c r="C67" s="209">
        <f>SUMIFS('Total Labor Summary'!$I:$I,'Total Labor Summary'!$F:$F,$B67)</f>
        <v>15</v>
      </c>
      <c r="D67" s="210"/>
    </row>
    <row r="68" spans="1:4" x14ac:dyDescent="0.2">
      <c r="A68" t="s">
        <v>49</v>
      </c>
      <c r="B68" t="s">
        <v>170</v>
      </c>
      <c r="C68" s="209">
        <f>SUMIFS('Total Labor Summary'!$I:$I,'Total Labor Summary'!$F:$F,$B68)</f>
        <v>108</v>
      </c>
      <c r="D68" s="210"/>
    </row>
    <row r="69" spans="1:4" x14ac:dyDescent="0.2">
      <c r="A69" t="s">
        <v>49</v>
      </c>
      <c r="B69" t="s">
        <v>207</v>
      </c>
      <c r="C69" s="209">
        <f>SUMIFS('Total Labor Summary'!$I:$I,'Total Labor Summary'!$F:$F,$B69)</f>
        <v>15</v>
      </c>
      <c r="D69" s="210"/>
    </row>
    <row r="70" spans="1:4" x14ac:dyDescent="0.2">
      <c r="A70" t="s">
        <v>49</v>
      </c>
      <c r="B70" t="s">
        <v>135</v>
      </c>
      <c r="C70" s="209">
        <f>SUMIFS('Total Labor Summary'!$I:$I,'Total Labor Summary'!$F:$F,$B70)</f>
        <v>156</v>
      </c>
      <c r="D70" s="210"/>
    </row>
    <row r="71" spans="1:4" x14ac:dyDescent="0.2">
      <c r="A71" t="s">
        <v>49</v>
      </c>
      <c r="B71" t="s">
        <v>148</v>
      </c>
      <c r="C71" s="209">
        <f>SUMIFS('Total Labor Summary'!$I:$I,'Total Labor Summary'!$F:$F,$B71)</f>
        <v>250</v>
      </c>
      <c r="D71" s="210"/>
    </row>
    <row r="72" spans="1:4" x14ac:dyDescent="0.2">
      <c r="A72" t="s">
        <v>50</v>
      </c>
      <c r="B72" t="s">
        <v>136</v>
      </c>
      <c r="C72" s="209">
        <f>SUMIFS('Total Labor Summary'!$I:$I,'Total Labor Summary'!$F:$F,$B72)</f>
        <v>39</v>
      </c>
      <c r="D72" s="210"/>
    </row>
    <row r="73" spans="1:4" x14ac:dyDescent="0.2">
      <c r="A73" t="s">
        <v>50</v>
      </c>
      <c r="B73" t="s">
        <v>168</v>
      </c>
      <c r="C73" s="209">
        <f>SUMIFS('Total Labor Summary'!$I:$I,'Total Labor Summary'!$F:$F,$B73)</f>
        <v>54</v>
      </c>
      <c r="D73" s="210"/>
    </row>
    <row r="74" spans="1:4" x14ac:dyDescent="0.2">
      <c r="A74" t="s">
        <v>50</v>
      </c>
      <c r="B74" t="s">
        <v>137</v>
      </c>
      <c r="C74" s="209">
        <f>SUMIFS('Total Labor Summary'!$I:$I,'Total Labor Summary'!$F:$F,$B74)</f>
        <v>117</v>
      </c>
      <c r="D74" s="210"/>
    </row>
    <row r="75" spans="1:4" x14ac:dyDescent="0.2">
      <c r="A75" t="s">
        <v>50</v>
      </c>
      <c r="B75" t="s">
        <v>169</v>
      </c>
      <c r="C75" s="209">
        <f>SUMIFS('Total Labor Summary'!$I:$I,'Total Labor Summary'!$F:$F,$B75)</f>
        <v>18</v>
      </c>
      <c r="D75" s="210"/>
    </row>
    <row r="76" spans="1:4" x14ac:dyDescent="0.2">
      <c r="A76" t="s">
        <v>50</v>
      </c>
      <c r="B76" t="s">
        <v>166</v>
      </c>
      <c r="C76" s="209">
        <f>SUMIFS('Total Labor Summary'!$I:$I,'Total Labor Summary'!$F:$F,$B76)</f>
        <v>18</v>
      </c>
      <c r="D76" s="210"/>
    </row>
  </sheetData>
  <sortState xmlns:xlrd2="http://schemas.microsoft.com/office/spreadsheetml/2017/richdata2" ref="A53:C76">
    <sortCondition ref="A53:A76"/>
    <sortCondition ref="B53:B76"/>
  </sortState>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281C7D-549B-443E-AB66-8CD8425601F8}">
  <dimension ref="A1:AD54"/>
  <sheetViews>
    <sheetView showGridLines="0" topLeftCell="A2" zoomScaleNormal="100" zoomScalePageLayoutView="140" workbookViewId="0">
      <selection activeCell="F31" sqref="F31"/>
    </sheetView>
  </sheetViews>
  <sheetFormatPr defaultColWidth="8.140625" defaultRowHeight="12" x14ac:dyDescent="0.2"/>
  <cols>
    <col min="1" max="1" width="3.42578125" style="78" customWidth="1"/>
    <col min="2" max="2" width="19.28515625" style="1" customWidth="1"/>
    <col min="3" max="3" width="9.5703125" style="1" customWidth="1"/>
    <col min="4" max="4" width="7" style="1" customWidth="1"/>
    <col min="5" max="5" width="1.85546875" style="1" bestFit="1" customWidth="1"/>
    <col min="6" max="6" width="11" style="1" customWidth="1"/>
    <col min="7" max="7" width="9.7109375" style="1" customWidth="1"/>
    <col min="8" max="8" width="10.5703125" style="1" customWidth="1"/>
    <col min="9" max="10" width="11" style="1" customWidth="1"/>
    <col min="11" max="11" width="13.5703125" style="1" customWidth="1"/>
    <col min="12" max="12" width="0.140625" style="1" customWidth="1"/>
    <col min="13" max="13" width="8.140625" style="1"/>
    <col min="14" max="14" width="9.140625" style="1" bestFit="1" customWidth="1"/>
    <col min="15" max="29" width="8.140625" style="1"/>
    <col min="30" max="30" width="0" style="1" hidden="1" customWidth="1"/>
    <col min="31" max="16384" width="8.140625" style="1"/>
  </cols>
  <sheetData>
    <row r="1" spans="1:30" ht="21" customHeight="1" thickTop="1" x14ac:dyDescent="0.2">
      <c r="A1" s="264" t="s">
        <v>0</v>
      </c>
      <c r="B1" s="265"/>
      <c r="C1" s="265"/>
      <c r="D1" s="265"/>
      <c r="E1" s="265"/>
      <c r="F1" s="265"/>
      <c r="G1" s="265"/>
      <c r="H1" s="265"/>
      <c r="I1" s="265"/>
      <c r="J1" s="265"/>
      <c r="K1" s="266"/>
      <c r="N1" s="247" t="s">
        <v>96</v>
      </c>
      <c r="O1" s="248"/>
      <c r="P1" s="248"/>
      <c r="Q1" s="248"/>
      <c r="R1" s="248"/>
      <c r="S1" s="248"/>
      <c r="T1" s="248"/>
      <c r="U1" s="248"/>
      <c r="V1" s="248"/>
      <c r="W1" s="248"/>
      <c r="X1" s="248"/>
      <c r="Y1" s="248"/>
      <c r="Z1" s="248"/>
      <c r="AA1" s="248"/>
      <c r="AB1" s="249"/>
    </row>
    <row r="2" spans="1:30" ht="57.6" customHeight="1" x14ac:dyDescent="0.2">
      <c r="A2" s="267" t="s">
        <v>1</v>
      </c>
      <c r="B2" s="268"/>
      <c r="C2" s="268"/>
      <c r="D2" s="268"/>
      <c r="E2" s="269"/>
      <c r="F2" s="270" t="s">
        <v>2</v>
      </c>
      <c r="G2" s="271"/>
      <c r="H2" s="272"/>
      <c r="I2" s="273" t="s">
        <v>3</v>
      </c>
      <c r="J2" s="271"/>
      <c r="K2" s="272"/>
      <c r="N2" s="250"/>
      <c r="O2" s="251"/>
      <c r="P2" s="251"/>
      <c r="Q2" s="251"/>
      <c r="R2" s="251"/>
      <c r="S2" s="251"/>
      <c r="T2" s="251"/>
      <c r="U2" s="251"/>
      <c r="V2" s="251"/>
      <c r="W2" s="251"/>
      <c r="X2" s="251"/>
      <c r="Y2" s="251"/>
      <c r="Z2" s="251"/>
      <c r="AA2" s="251"/>
      <c r="AB2" s="252"/>
    </row>
    <row r="3" spans="1:30" ht="12.75" x14ac:dyDescent="0.2">
      <c r="A3" s="2" t="s">
        <v>4</v>
      </c>
      <c r="B3" s="3" t="s">
        <v>94</v>
      </c>
      <c r="C3" s="3"/>
      <c r="D3" s="3"/>
      <c r="E3" s="3"/>
      <c r="F3" s="3"/>
      <c r="G3" s="4" t="s">
        <v>5</v>
      </c>
      <c r="H3" s="274" t="s">
        <v>181</v>
      </c>
      <c r="I3" s="274"/>
      <c r="J3" s="274"/>
      <c r="K3" s="5"/>
      <c r="L3" s="6"/>
      <c r="N3" s="250"/>
      <c r="O3" s="251"/>
      <c r="P3" s="251"/>
      <c r="Q3" s="251"/>
      <c r="R3" s="251"/>
      <c r="S3" s="251"/>
      <c r="T3" s="251"/>
      <c r="U3" s="251"/>
      <c r="V3" s="251"/>
      <c r="W3" s="251"/>
      <c r="X3" s="251"/>
      <c r="Y3" s="251"/>
      <c r="Z3" s="251"/>
      <c r="AA3" s="251"/>
      <c r="AB3" s="252"/>
    </row>
    <row r="4" spans="1:30" ht="12.75" x14ac:dyDescent="0.2">
      <c r="A4" s="5"/>
      <c r="B4" s="3" t="s">
        <v>6</v>
      </c>
      <c r="C4" s="3"/>
      <c r="D4" s="3"/>
      <c r="E4" s="3"/>
      <c r="F4" s="3"/>
      <c r="G4" s="5"/>
      <c r="H4" s="274" t="s">
        <v>182</v>
      </c>
      <c r="I4" s="274"/>
      <c r="J4" s="274"/>
      <c r="K4" s="5"/>
      <c r="L4" s="6"/>
      <c r="N4" s="250"/>
      <c r="O4" s="251"/>
      <c r="P4" s="251"/>
      <c r="Q4" s="251"/>
      <c r="R4" s="251"/>
      <c r="S4" s="251"/>
      <c r="T4" s="251"/>
      <c r="U4" s="251"/>
      <c r="V4" s="251"/>
      <c r="W4" s="251"/>
      <c r="X4" s="251"/>
      <c r="Y4" s="251"/>
      <c r="Z4" s="251"/>
      <c r="AA4" s="251"/>
      <c r="AB4" s="252"/>
    </row>
    <row r="5" spans="1:30" ht="12.75" x14ac:dyDescent="0.2">
      <c r="A5" s="5"/>
      <c r="B5" s="3" t="s">
        <v>8</v>
      </c>
      <c r="C5" s="3"/>
      <c r="D5" s="3"/>
      <c r="E5" s="3"/>
      <c r="F5" s="3"/>
      <c r="G5" s="5"/>
      <c r="H5" s="274" t="s">
        <v>7</v>
      </c>
      <c r="I5" s="274"/>
      <c r="J5" s="274"/>
      <c r="K5" s="5"/>
      <c r="L5" s="6"/>
      <c r="N5" s="250"/>
      <c r="O5" s="251"/>
      <c r="P5" s="251"/>
      <c r="Q5" s="251"/>
      <c r="R5" s="251"/>
      <c r="S5" s="251"/>
      <c r="T5" s="251"/>
      <c r="U5" s="251"/>
      <c r="V5" s="251"/>
      <c r="W5" s="251"/>
      <c r="X5" s="251"/>
      <c r="Y5" s="251"/>
      <c r="Z5" s="251"/>
      <c r="AA5" s="251"/>
      <c r="AB5" s="252"/>
    </row>
    <row r="6" spans="1:30" ht="12.75" x14ac:dyDescent="0.2">
      <c r="A6" s="5"/>
      <c r="B6" s="3" t="s">
        <v>9</v>
      </c>
      <c r="C6" s="3"/>
      <c r="D6" s="3"/>
      <c r="E6" s="3"/>
      <c r="F6" s="3"/>
      <c r="G6" s="5"/>
      <c r="H6" s="274" t="s">
        <v>183</v>
      </c>
      <c r="I6" s="274"/>
      <c r="J6" s="274"/>
      <c r="K6" s="5"/>
      <c r="L6" s="6"/>
      <c r="N6" s="250"/>
      <c r="O6" s="251"/>
      <c r="P6" s="251"/>
      <c r="Q6" s="251"/>
      <c r="R6" s="251"/>
      <c r="S6" s="251"/>
      <c r="T6" s="251"/>
      <c r="U6" s="251"/>
      <c r="V6" s="251"/>
      <c r="W6" s="251"/>
      <c r="X6" s="251"/>
      <c r="Y6" s="251"/>
      <c r="Z6" s="251"/>
      <c r="AA6" s="251"/>
      <c r="AB6" s="252"/>
    </row>
    <row r="7" spans="1:30" ht="12.75" x14ac:dyDescent="0.2">
      <c r="A7" s="3"/>
      <c r="B7" s="3" t="s">
        <v>11</v>
      </c>
      <c r="C7" s="3"/>
      <c r="D7" s="3"/>
      <c r="E7" s="3"/>
      <c r="F7" s="3"/>
      <c r="G7" s="4" t="s">
        <v>10</v>
      </c>
      <c r="H7" s="274" t="s">
        <v>177</v>
      </c>
      <c r="I7" s="274"/>
      <c r="J7" s="3"/>
      <c r="K7" s="3"/>
      <c r="L7"/>
      <c r="N7" s="250"/>
      <c r="O7" s="251"/>
      <c r="P7" s="251"/>
      <c r="Q7" s="251"/>
      <c r="R7" s="251"/>
      <c r="S7" s="251"/>
      <c r="T7" s="251"/>
      <c r="U7" s="251"/>
      <c r="V7" s="251"/>
      <c r="W7" s="251"/>
      <c r="X7" s="251"/>
      <c r="Y7" s="251"/>
      <c r="Z7" s="251"/>
      <c r="AA7" s="251"/>
      <c r="AB7" s="252"/>
    </row>
    <row r="8" spans="1:30" ht="12.75" x14ac:dyDescent="0.2">
      <c r="A8" s="7"/>
      <c r="B8" s="121" t="s">
        <v>95</v>
      </c>
      <c r="C8" s="74"/>
      <c r="D8" s="7"/>
      <c r="E8" s="7"/>
      <c r="F8" s="7"/>
      <c r="G8" s="8" t="s">
        <v>12</v>
      </c>
      <c r="H8" s="9" t="s">
        <v>184</v>
      </c>
      <c r="I8" s="8" t="s">
        <v>13</v>
      </c>
      <c r="J8" s="276" t="s">
        <v>185</v>
      </c>
      <c r="K8" s="277"/>
      <c r="L8"/>
      <c r="N8" s="250"/>
      <c r="O8" s="251"/>
      <c r="P8" s="251"/>
      <c r="Q8" s="251"/>
      <c r="R8" s="251"/>
      <c r="S8" s="251"/>
      <c r="T8" s="251"/>
      <c r="U8" s="251"/>
      <c r="V8" s="251"/>
      <c r="W8" s="251"/>
      <c r="X8" s="251"/>
      <c r="Y8" s="251"/>
      <c r="Z8" s="251"/>
      <c r="AA8" s="251"/>
      <c r="AB8" s="252"/>
    </row>
    <row r="9" spans="1:30" ht="3.6" customHeight="1" x14ac:dyDescent="0.2">
      <c r="A9" s="3"/>
      <c r="B9" s="3"/>
      <c r="C9" s="3"/>
      <c r="D9" s="3"/>
      <c r="E9" s="3"/>
      <c r="F9" s="3"/>
      <c r="G9" s="4"/>
      <c r="H9" s="3"/>
      <c r="I9" s="4"/>
      <c r="J9" s="10"/>
      <c r="K9" s="10"/>
      <c r="L9"/>
      <c r="N9" s="250"/>
      <c r="O9" s="251"/>
      <c r="P9" s="251"/>
      <c r="Q9" s="251"/>
      <c r="R9" s="251"/>
      <c r="S9" s="251"/>
      <c r="T9" s="251"/>
      <c r="U9" s="251"/>
      <c r="V9" s="251"/>
      <c r="W9" s="251"/>
      <c r="X9" s="251"/>
      <c r="Y9" s="251"/>
      <c r="Z9" s="251"/>
      <c r="AA9" s="251"/>
      <c r="AB9" s="252"/>
    </row>
    <row r="10" spans="1:30" ht="13.5" thickBot="1" x14ac:dyDescent="0.25">
      <c r="A10" s="3"/>
      <c r="B10" s="11" t="s">
        <v>14</v>
      </c>
      <c r="C10" s="278" t="s">
        <v>186</v>
      </c>
      <c r="D10" s="278"/>
      <c r="E10" s="278"/>
      <c r="F10" s="12"/>
      <c r="G10" s="3"/>
      <c r="H10" s="11" t="s">
        <v>15</v>
      </c>
      <c r="I10" s="13">
        <v>10102</v>
      </c>
      <c r="J10" s="14" t="s">
        <v>16</v>
      </c>
      <c r="K10" s="15">
        <v>0</v>
      </c>
      <c r="L10" s="16"/>
      <c r="N10" s="253"/>
      <c r="O10" s="254"/>
      <c r="P10" s="254"/>
      <c r="Q10" s="254"/>
      <c r="R10" s="254"/>
      <c r="S10" s="254"/>
      <c r="T10" s="254"/>
      <c r="U10" s="254"/>
      <c r="V10" s="254"/>
      <c r="W10" s="254"/>
      <c r="X10" s="254"/>
      <c r="Y10" s="254"/>
      <c r="Z10" s="254"/>
      <c r="AA10" s="254"/>
      <c r="AB10" s="255"/>
    </row>
    <row r="11" spans="1:30" ht="13.5" thickTop="1" x14ac:dyDescent="0.2">
      <c r="A11" s="3"/>
      <c r="B11" s="11" t="s">
        <v>109</v>
      </c>
      <c r="C11" s="275" t="s">
        <v>186</v>
      </c>
      <c r="D11" s="275"/>
      <c r="E11" s="275"/>
      <c r="F11" s="12"/>
      <c r="G11" s="3"/>
      <c r="H11" s="11"/>
      <c r="I11" s="13"/>
      <c r="J11" s="14"/>
      <c r="K11" s="122"/>
      <c r="L11" s="16"/>
    </row>
    <row r="12" spans="1:30" ht="12.75" x14ac:dyDescent="0.2">
      <c r="A12" s="3"/>
      <c r="B12" s="11" t="s">
        <v>17</v>
      </c>
      <c r="C12" s="17" t="s">
        <v>188</v>
      </c>
      <c r="E12" s="3"/>
      <c r="F12" s="3"/>
      <c r="G12" s="3"/>
      <c r="H12" s="11" t="s">
        <v>18</v>
      </c>
      <c r="I12" s="18">
        <v>45408</v>
      </c>
      <c r="J12" s="19"/>
      <c r="K12" s="20"/>
      <c r="L12" s="21"/>
    </row>
    <row r="13" spans="1:30" x14ac:dyDescent="0.2">
      <c r="A13" s="3"/>
      <c r="B13" s="11" t="s">
        <v>19</v>
      </c>
      <c r="C13" s="22" t="s">
        <v>187</v>
      </c>
      <c r="E13" s="3"/>
      <c r="F13" s="3"/>
      <c r="G13" s="3"/>
      <c r="H13" s="11" t="s">
        <v>20</v>
      </c>
      <c r="I13" s="23" t="s">
        <v>190</v>
      </c>
      <c r="J13" s="12"/>
      <c r="K13" s="12"/>
      <c r="AD13" s="1" t="s">
        <v>22</v>
      </c>
    </row>
    <row r="14" spans="1:30" ht="12.75" x14ac:dyDescent="0.2">
      <c r="A14" s="24"/>
      <c r="B14" s="3"/>
      <c r="C14" s="25" t="s">
        <v>21</v>
      </c>
      <c r="D14" s="25" t="s">
        <v>22</v>
      </c>
      <c r="E14" s="3"/>
      <c r="F14" s="3"/>
      <c r="G14" s="3"/>
      <c r="H14" s="11" t="s">
        <v>23</v>
      </c>
      <c r="I14" s="26">
        <v>45347</v>
      </c>
      <c r="J14" s="27" t="s">
        <v>24</v>
      </c>
      <c r="K14" s="26">
        <v>45374</v>
      </c>
      <c r="L14" s="28"/>
      <c r="AD14" s="1" t="s">
        <v>21</v>
      </c>
    </row>
    <row r="15" spans="1:30" x14ac:dyDescent="0.2">
      <c r="A15" s="24"/>
      <c r="B15" s="11" t="s">
        <v>25</v>
      </c>
      <c r="C15" s="29" t="s">
        <v>189</v>
      </c>
      <c r="D15" s="29"/>
      <c r="E15" s="3"/>
      <c r="F15" s="3"/>
      <c r="G15" s="3"/>
      <c r="H15" s="11" t="s">
        <v>26</v>
      </c>
      <c r="I15" s="30">
        <v>1</v>
      </c>
      <c r="J15" s="1" t="s">
        <v>97</v>
      </c>
      <c r="K15" s="261" t="s">
        <v>21</v>
      </c>
      <c r="L15" s="261"/>
    </row>
    <row r="16" spans="1:30" ht="3.6" customHeight="1" x14ac:dyDescent="0.2">
      <c r="A16" s="24"/>
      <c r="B16" s="11"/>
      <c r="C16" s="25"/>
      <c r="D16" s="25"/>
      <c r="E16" s="3"/>
      <c r="F16" s="3"/>
      <c r="G16" s="3"/>
      <c r="H16" s="11"/>
      <c r="I16" s="31"/>
      <c r="J16" s="14"/>
      <c r="K16" s="14"/>
    </row>
    <row r="17" spans="1:19" ht="13.5" customHeight="1" x14ac:dyDescent="0.2">
      <c r="A17" s="32" t="s">
        <v>27</v>
      </c>
      <c r="B17" s="33"/>
      <c r="C17" s="33"/>
      <c r="D17" s="34" t="s">
        <v>28</v>
      </c>
      <c r="E17" s="33"/>
      <c r="F17" s="33"/>
      <c r="G17" s="33"/>
      <c r="H17" s="35"/>
      <c r="I17" s="33"/>
      <c r="J17" s="33"/>
      <c r="K17" s="33"/>
    </row>
    <row r="18" spans="1:19" s="3" customFormat="1" ht="23.25" customHeight="1" x14ac:dyDescent="0.2">
      <c r="A18" s="36" t="s">
        <v>29</v>
      </c>
      <c r="B18" s="37" t="s">
        <v>30</v>
      </c>
      <c r="C18" s="37" t="s">
        <v>31</v>
      </c>
      <c r="D18" s="37" t="s">
        <v>32</v>
      </c>
      <c r="E18" s="262" t="s">
        <v>33</v>
      </c>
      <c r="F18" s="262"/>
      <c r="G18" s="263" t="s">
        <v>34</v>
      </c>
      <c r="H18" s="263"/>
      <c r="I18" s="263"/>
      <c r="J18" s="263"/>
      <c r="K18" s="38" t="s">
        <v>35</v>
      </c>
    </row>
    <row r="19" spans="1:19" s="3" customFormat="1" ht="21.6" customHeight="1" x14ac:dyDescent="0.2">
      <c r="A19" s="39">
        <v>1</v>
      </c>
      <c r="B19" s="40"/>
      <c r="C19" s="41"/>
      <c r="D19" s="42"/>
      <c r="E19" s="245"/>
      <c r="F19" s="246"/>
      <c r="G19" s="240"/>
      <c r="H19" s="241"/>
      <c r="I19" s="241"/>
      <c r="J19" s="242"/>
      <c r="K19" s="43"/>
    </row>
    <row r="20" spans="1:19" s="3" customFormat="1" ht="21.6" customHeight="1" x14ac:dyDescent="0.2">
      <c r="A20" s="44">
        <v>2</v>
      </c>
      <c r="B20" s="45"/>
      <c r="C20" s="46"/>
      <c r="D20" s="47"/>
      <c r="E20" s="238"/>
      <c r="F20" s="239"/>
      <c r="G20" s="240"/>
      <c r="H20" s="241"/>
      <c r="I20" s="241"/>
      <c r="J20" s="242"/>
      <c r="K20" s="48"/>
    </row>
    <row r="21" spans="1:19" s="3" customFormat="1" ht="21.6" customHeight="1" x14ac:dyDescent="0.2">
      <c r="A21" s="44">
        <v>3</v>
      </c>
      <c r="B21" s="45"/>
      <c r="C21" s="46"/>
      <c r="D21" s="47"/>
      <c r="E21" s="238"/>
      <c r="F21" s="239"/>
      <c r="G21" s="240"/>
      <c r="H21" s="241"/>
      <c r="I21" s="241"/>
      <c r="J21" s="242"/>
      <c r="K21" s="48"/>
    </row>
    <row r="22" spans="1:19" s="3" customFormat="1" ht="21.6" customHeight="1" x14ac:dyDescent="0.2">
      <c r="A22" s="44">
        <v>4</v>
      </c>
      <c r="B22" s="45"/>
      <c r="C22" s="46"/>
      <c r="D22" s="47"/>
      <c r="E22" s="238"/>
      <c r="F22" s="239"/>
      <c r="G22" s="240"/>
      <c r="H22" s="241"/>
      <c r="I22" s="241"/>
      <c r="J22" s="242"/>
      <c r="K22" s="48"/>
      <c r="S22" s="3" t="s">
        <v>174</v>
      </c>
    </row>
    <row r="23" spans="1:19" s="3" customFormat="1" ht="21.6" customHeight="1" x14ac:dyDescent="0.2">
      <c r="A23" s="44">
        <v>5</v>
      </c>
      <c r="B23" s="45"/>
      <c r="C23" s="46"/>
      <c r="D23" s="47"/>
      <c r="E23" s="238"/>
      <c r="F23" s="239"/>
      <c r="G23" s="240"/>
      <c r="H23" s="241"/>
      <c r="I23" s="241"/>
      <c r="J23" s="242"/>
      <c r="K23" s="48"/>
    </row>
    <row r="24" spans="1:19" ht="3.6" customHeight="1" x14ac:dyDescent="0.2">
      <c r="A24" s="24"/>
      <c r="B24" s="3"/>
      <c r="C24" s="3"/>
      <c r="D24" s="3"/>
      <c r="E24" s="3"/>
      <c r="F24" s="3"/>
      <c r="G24" s="3"/>
      <c r="H24" s="3"/>
      <c r="I24" s="3"/>
      <c r="J24" s="3"/>
      <c r="K24" s="3"/>
    </row>
    <row r="25" spans="1:19" ht="12.75" customHeight="1" x14ac:dyDescent="0.2">
      <c r="A25" s="244" t="s">
        <v>69</v>
      </c>
      <c r="B25" s="244"/>
      <c r="C25" s="244"/>
      <c r="D25" s="244"/>
      <c r="E25" s="244"/>
      <c r="F25" s="244"/>
      <c r="G25" s="244"/>
      <c r="H25" s="244"/>
      <c r="I25" s="244"/>
      <c r="J25" s="244"/>
      <c r="K25" s="244"/>
    </row>
    <row r="26" spans="1:19" x14ac:dyDescent="0.2">
      <c r="A26" s="24"/>
      <c r="B26" s="3"/>
      <c r="C26" s="3"/>
      <c r="D26" s="24" t="s">
        <v>36</v>
      </c>
      <c r="E26" s="3"/>
      <c r="F26" s="25">
        <v>1</v>
      </c>
      <c r="G26" s="25">
        <v>2</v>
      </c>
      <c r="H26" s="25">
        <v>3</v>
      </c>
      <c r="I26" s="25">
        <v>4</v>
      </c>
      <c r="J26" s="25">
        <v>5</v>
      </c>
      <c r="K26" s="3"/>
    </row>
    <row r="27" spans="1:19" x14ac:dyDescent="0.2">
      <c r="A27" s="24"/>
      <c r="B27" s="7" t="s">
        <v>37</v>
      </c>
      <c r="C27" s="7"/>
      <c r="D27" s="49" t="s">
        <v>38</v>
      </c>
      <c r="E27" s="7"/>
      <c r="F27" s="50" t="str">
        <f>IF(ISBLANK(B19),"",B19)</f>
        <v/>
      </c>
      <c r="G27" s="50" t="str">
        <f>IF(ISBLANK(B20),"",B20)</f>
        <v/>
      </c>
      <c r="H27" s="50" t="str">
        <f>IF(ISBLANK(B21),"",B21)</f>
        <v/>
      </c>
      <c r="I27" s="50" t="str">
        <f>IF(ISBLANK(B22),"",B22)</f>
        <v/>
      </c>
      <c r="J27" s="50" t="str">
        <f>IF(ISBLANK(B23),"",B23)</f>
        <v/>
      </c>
      <c r="K27" s="51" t="s">
        <v>39</v>
      </c>
    </row>
    <row r="28" spans="1:19" x14ac:dyDescent="0.2">
      <c r="A28" s="10" t="s">
        <v>40</v>
      </c>
      <c r="B28" s="52" t="s">
        <v>41</v>
      </c>
      <c r="C28" s="3"/>
      <c r="D28" s="3"/>
      <c r="E28" s="24"/>
      <c r="F28" s="227">
        <f>ROUND(SUM(F29:F30),3)</f>
        <v>2686</v>
      </c>
      <c r="G28" s="53">
        <f t="shared" ref="G28:J28" si="0">ROUND(SUM(G29:G30),2)</f>
        <v>0</v>
      </c>
      <c r="H28" s="53">
        <f t="shared" si="0"/>
        <v>0</v>
      </c>
      <c r="I28" s="53">
        <f t="shared" si="0"/>
        <v>0</v>
      </c>
      <c r="J28" s="53">
        <f t="shared" si="0"/>
        <v>0</v>
      </c>
      <c r="K28" s="228">
        <f>ROUND(SUM(F28:J28),3)</f>
        <v>2686</v>
      </c>
    </row>
    <row r="29" spans="1:19" x14ac:dyDescent="0.2">
      <c r="A29" s="24" t="s">
        <v>42</v>
      </c>
      <c r="B29" s="54" t="s">
        <v>43</v>
      </c>
      <c r="D29" s="24" t="s">
        <v>44</v>
      </c>
      <c r="E29" s="55"/>
      <c r="F29" s="56">
        <f>'Total including OH &amp; Net Fee'!F26</f>
        <v>2686</v>
      </c>
      <c r="G29" s="56"/>
      <c r="H29" s="56"/>
      <c r="I29" s="56"/>
      <c r="J29" s="56"/>
      <c r="K29" s="57">
        <f t="shared" ref="K29:K30" si="1">ROUND(SUM(F29:J29),2)</f>
        <v>2686</v>
      </c>
    </row>
    <row r="30" spans="1:19" x14ac:dyDescent="0.2">
      <c r="A30" s="24" t="s">
        <v>45</v>
      </c>
      <c r="B30" s="58" t="s">
        <v>46</v>
      </c>
      <c r="C30" s="59"/>
      <c r="D30" s="60" t="s">
        <v>44</v>
      </c>
      <c r="E30" s="61"/>
      <c r="F30" s="62"/>
      <c r="G30" s="62"/>
      <c r="H30" s="62"/>
      <c r="I30" s="62"/>
      <c r="J30" s="62"/>
      <c r="K30" s="63">
        <f t="shared" si="1"/>
        <v>0</v>
      </c>
    </row>
    <row r="31" spans="1:19" x14ac:dyDescent="0.2">
      <c r="A31" s="10" t="s">
        <v>47</v>
      </c>
      <c r="B31" s="64" t="s">
        <v>48</v>
      </c>
      <c r="C31" s="25" t="s">
        <v>49</v>
      </c>
      <c r="D31" s="25" t="s">
        <v>50</v>
      </c>
      <c r="E31" s="25"/>
      <c r="F31" s="65">
        <f>'Total including OH &amp; Net Fee'!H26</f>
        <v>5005.3900000000003</v>
      </c>
      <c r="G31" s="65"/>
      <c r="H31" s="65"/>
      <c r="I31" s="65"/>
      <c r="J31" s="65"/>
      <c r="K31" s="228">
        <f>ROUND(SUM(F31:J31),3)</f>
        <v>5005.3900000000003</v>
      </c>
    </row>
    <row r="32" spans="1:19" x14ac:dyDescent="0.2">
      <c r="A32" s="10" t="s">
        <v>51</v>
      </c>
      <c r="B32" s="67" t="s">
        <v>230</v>
      </c>
      <c r="C32" s="154">
        <v>1.9052</v>
      </c>
      <c r="D32" s="156">
        <v>1.45</v>
      </c>
      <c r="E32" s="25"/>
      <c r="F32" s="66">
        <f>'Total including OH &amp; Net Fee'!I26</f>
        <v>884.49</v>
      </c>
      <c r="G32" s="66">
        <f>MIN(ROUND(G28*2.35*$C$32,2),G33-G34)</f>
        <v>0</v>
      </c>
      <c r="H32" s="66">
        <f>MIN(ROUND(H28*2.35*$C$32,2),H33-H34)</f>
        <v>0</v>
      </c>
      <c r="I32" s="66">
        <f>MIN(ROUND(I28*2.35*$C$32,2),I33-I34)</f>
        <v>0</v>
      </c>
      <c r="J32" s="66">
        <f>MIN(ROUND(J28*2.35*$C$32,2),J33-J34)</f>
        <v>0</v>
      </c>
      <c r="K32" s="57">
        <f>ROUND(SUM(F32:J32),3)</f>
        <v>884.49</v>
      </c>
      <c r="N32" s="83"/>
    </row>
    <row r="33" spans="1:12" x14ac:dyDescent="0.2">
      <c r="A33" s="10"/>
      <c r="B33" s="259" t="s">
        <v>52</v>
      </c>
      <c r="D33" s="155" t="s">
        <v>53</v>
      </c>
      <c r="E33" s="25"/>
      <c r="F33" s="68"/>
      <c r="G33" s="68"/>
      <c r="H33" s="68"/>
      <c r="I33" s="68"/>
      <c r="J33" s="68"/>
      <c r="K33" s="57"/>
    </row>
    <row r="34" spans="1:12" x14ac:dyDescent="0.2">
      <c r="A34" s="10"/>
      <c r="B34" s="260"/>
      <c r="C34" s="59"/>
      <c r="D34" s="69" t="s">
        <v>54</v>
      </c>
      <c r="E34" s="70"/>
      <c r="F34" s="71"/>
      <c r="G34" s="71"/>
      <c r="H34" s="71"/>
      <c r="I34" s="71"/>
      <c r="J34" s="71"/>
      <c r="K34" s="63"/>
    </row>
    <row r="35" spans="1:12" x14ac:dyDescent="0.2">
      <c r="A35" s="10" t="s">
        <v>55</v>
      </c>
      <c r="B35" s="67" t="s">
        <v>56</v>
      </c>
      <c r="D35" s="24" t="s">
        <v>44</v>
      </c>
      <c r="E35" s="55"/>
      <c r="F35" s="72">
        <f>'Total including OH &amp; Net Fee'!J26+'Total including OH &amp; Net Fee'!K26</f>
        <v>83.75</v>
      </c>
      <c r="G35" s="72"/>
      <c r="H35" s="72"/>
      <c r="I35" s="72"/>
      <c r="J35" s="72"/>
      <c r="K35" s="57">
        <f>ROUND(SUM(F35:J35),3)</f>
        <v>83.75</v>
      </c>
    </row>
    <row r="36" spans="1:12" ht="15.75" customHeight="1" x14ac:dyDescent="0.2">
      <c r="A36" s="10" t="s">
        <v>57</v>
      </c>
      <c r="B36" s="73" t="s">
        <v>58</v>
      </c>
      <c r="C36" s="74"/>
      <c r="D36" s="49" t="s">
        <v>44</v>
      </c>
      <c r="E36" s="55"/>
      <c r="F36" s="75"/>
      <c r="G36" s="75"/>
      <c r="H36" s="75"/>
      <c r="I36" s="75"/>
      <c r="J36" s="75"/>
      <c r="K36" s="57">
        <f t="shared" ref="K36" si="2">ROUND(SUM(F36:J36),2)</f>
        <v>0</v>
      </c>
    </row>
    <row r="37" spans="1:12" ht="18.75" customHeight="1" thickBot="1" x14ac:dyDescent="0.25">
      <c r="A37" s="24"/>
      <c r="C37" s="3"/>
      <c r="D37" s="3"/>
      <c r="E37" s="11" t="s">
        <v>98</v>
      </c>
      <c r="F37" s="76">
        <f>F28+F31+F35+F36+F32</f>
        <v>8659.630000000001</v>
      </c>
      <c r="G37" s="76"/>
      <c r="H37" s="76"/>
      <c r="I37" s="76"/>
      <c r="J37" s="76"/>
      <c r="K37" s="77">
        <f>ROUND(SUM(F37:J37),2)</f>
        <v>8659.6299999999992</v>
      </c>
    </row>
    <row r="38" spans="1:12" ht="15.75" customHeight="1" x14ac:dyDescent="0.2"/>
    <row r="39" spans="1:12" ht="13.5" customHeight="1" thickBot="1" x14ac:dyDescent="0.25">
      <c r="A39" s="79" t="s">
        <v>59</v>
      </c>
      <c r="D39" s="3"/>
      <c r="E39" s="3"/>
      <c r="F39" s="3"/>
      <c r="G39" s="3"/>
      <c r="H39" s="3"/>
      <c r="I39" s="3"/>
      <c r="J39" s="3"/>
      <c r="K39" s="80">
        <f>K37</f>
        <v>8659.6299999999992</v>
      </c>
      <c r="L39" s="82"/>
    </row>
    <row r="40" spans="1:12" ht="12.75" customHeight="1" thickTop="1" x14ac:dyDescent="0.2">
      <c r="B40" s="24" t="s">
        <v>60</v>
      </c>
      <c r="C40" s="243">
        <f>IF(ISERR(K42/K41),"",K42/K41)</f>
        <v>0.4</v>
      </c>
      <c r="D40" s="243"/>
      <c r="E40" s="25" t="s">
        <v>61</v>
      </c>
      <c r="F40" s="81">
        <f>IF(ISBLANK(F41),"",F42/F41)</f>
        <v>0.4</v>
      </c>
      <c r="G40" s="81" t="str">
        <f t="shared" ref="G40:J40" si="3">IF(ISBLANK(G41),"",G42/G41)</f>
        <v/>
      </c>
      <c r="H40" s="81" t="str">
        <f t="shared" si="3"/>
        <v/>
      </c>
      <c r="I40" s="81" t="str">
        <f t="shared" si="3"/>
        <v/>
      </c>
      <c r="J40" s="81" t="str">
        <f t="shared" si="3"/>
        <v/>
      </c>
      <c r="K40" s="82" t="s">
        <v>39</v>
      </c>
      <c r="L40" s="83"/>
    </row>
    <row r="41" spans="1:12" ht="12.75" customHeight="1" x14ac:dyDescent="0.2">
      <c r="C41" s="78"/>
      <c r="D41" s="24" t="s">
        <v>62</v>
      </c>
      <c r="E41" s="83"/>
      <c r="F41" s="84">
        <v>125000</v>
      </c>
      <c r="G41" s="84"/>
      <c r="H41" s="84"/>
      <c r="I41" s="84"/>
      <c r="J41" s="84"/>
      <c r="K41" s="85">
        <f>SUM(F41:J41)</f>
        <v>125000</v>
      </c>
      <c r="L41" s="83"/>
    </row>
    <row r="42" spans="1:12" ht="12.75" customHeight="1" x14ac:dyDescent="0.2">
      <c r="B42" s="256">
        <f>K14</f>
        <v>45374</v>
      </c>
      <c r="C42" s="256"/>
      <c r="D42" s="256"/>
      <c r="E42" s="3"/>
      <c r="F42" s="86">
        <v>50000</v>
      </c>
      <c r="G42" s="86"/>
      <c r="H42" s="86"/>
      <c r="I42" s="86"/>
      <c r="J42" s="86"/>
      <c r="K42" s="85">
        <f>SUM(F42:J42)</f>
        <v>50000</v>
      </c>
      <c r="L42" s="83"/>
    </row>
    <row r="43" spans="1:12" ht="15.75" customHeight="1" x14ac:dyDescent="0.2">
      <c r="C43" s="24"/>
      <c r="D43" s="24" t="s">
        <v>63</v>
      </c>
      <c r="E43" s="3"/>
      <c r="F43" s="87">
        <f>-(F42-F37)</f>
        <v>-41340.369999999995</v>
      </c>
      <c r="G43" s="87">
        <f t="shared" ref="G43:J43" si="4">-(G42-G37)</f>
        <v>0</v>
      </c>
      <c r="H43" s="87">
        <f t="shared" si="4"/>
        <v>0</v>
      </c>
      <c r="I43" s="87">
        <f t="shared" si="4"/>
        <v>0</v>
      </c>
      <c r="J43" s="87">
        <f t="shared" si="4"/>
        <v>0</v>
      </c>
      <c r="K43" s="85">
        <f>SUM(F43:J43)</f>
        <v>-41340.369999999995</v>
      </c>
    </row>
    <row r="44" spans="1:12" ht="16.5" customHeight="1" thickBot="1" x14ac:dyDescent="0.25">
      <c r="A44" s="79" t="s">
        <v>59</v>
      </c>
      <c r="D44" s="3"/>
      <c r="E44" s="3"/>
      <c r="F44" s="3"/>
      <c r="G44" s="3"/>
      <c r="H44" s="3"/>
      <c r="I44" s="3"/>
      <c r="J44" s="3"/>
      <c r="K44" s="80">
        <f>ROUND(K42+K43,2)</f>
        <v>8659.6299999999992</v>
      </c>
    </row>
    <row r="45" spans="1:12" ht="29.25" customHeight="1" thickTop="1" x14ac:dyDescent="0.2">
      <c r="B45" s="257" t="s">
        <v>64</v>
      </c>
      <c r="C45" s="257"/>
      <c r="D45" s="257"/>
      <c r="E45" s="257"/>
      <c r="F45" s="257"/>
      <c r="G45" s="257"/>
      <c r="H45" s="257"/>
      <c r="I45" s="257"/>
      <c r="J45" s="257"/>
      <c r="K45" s="257"/>
    </row>
    <row r="46" spans="1:12" ht="18.600000000000001" customHeight="1" x14ac:dyDescent="0.2">
      <c r="B46" s="3"/>
      <c r="C46" s="24" t="s">
        <v>65</v>
      </c>
      <c r="D46" s="258" t="s">
        <v>66</v>
      </c>
      <c r="E46" s="258"/>
      <c r="F46" s="258"/>
      <c r="G46" s="258"/>
      <c r="H46" s="258"/>
      <c r="I46" s="24" t="s">
        <v>67</v>
      </c>
      <c r="J46" s="88">
        <f ca="1">TODAY()</f>
        <v>45411</v>
      </c>
      <c r="K46" s="3"/>
    </row>
    <row r="47" spans="1:12" x14ac:dyDescent="0.2">
      <c r="A47" s="89"/>
      <c r="B47" s="90"/>
      <c r="C47" s="3"/>
      <c r="D47" s="237" t="s">
        <v>68</v>
      </c>
      <c r="E47" s="237"/>
      <c r="F47" s="237"/>
      <c r="G47" s="237"/>
      <c r="H47" s="237"/>
      <c r="I47" s="91"/>
      <c r="J47" s="91"/>
      <c r="K47" s="91"/>
    </row>
    <row r="49" spans="4:4" hidden="1" x14ac:dyDescent="0.2"/>
    <row r="50" spans="4:4" ht="12.75" hidden="1" x14ac:dyDescent="0.2">
      <c r="D50">
        <v>0</v>
      </c>
    </row>
    <row r="51" spans="4:4" ht="12.75" hidden="1" x14ac:dyDescent="0.2">
      <c r="D51">
        <v>30</v>
      </c>
    </row>
    <row r="52" spans="4:4" ht="12.75" hidden="1" x14ac:dyDescent="0.2">
      <c r="D52">
        <v>60</v>
      </c>
    </row>
    <row r="53" spans="4:4" ht="12.75" hidden="1" x14ac:dyDescent="0.2">
      <c r="D53">
        <v>90</v>
      </c>
    </row>
    <row r="54" spans="4:4" ht="12.75" hidden="1" x14ac:dyDescent="0.2">
      <c r="D54">
        <v>120</v>
      </c>
    </row>
  </sheetData>
  <sheetProtection formatCells="0" formatRows="0" insertColumns="0" insertRows="0" selectLockedCells="1"/>
  <mergeCells count="33">
    <mergeCell ref="F2:H2"/>
    <mergeCell ref="I2:K2"/>
    <mergeCell ref="H3:J3"/>
    <mergeCell ref="H4:J4"/>
    <mergeCell ref="C11:E11"/>
    <mergeCell ref="H5:J5"/>
    <mergeCell ref="H6:J6"/>
    <mergeCell ref="H7:I7"/>
    <mergeCell ref="J8:K8"/>
    <mergeCell ref="C10:E10"/>
    <mergeCell ref="E19:F19"/>
    <mergeCell ref="N1:AB10"/>
    <mergeCell ref="B42:D42"/>
    <mergeCell ref="B45:K45"/>
    <mergeCell ref="D46:H46"/>
    <mergeCell ref="B33:B34"/>
    <mergeCell ref="G19:J19"/>
    <mergeCell ref="E20:F20"/>
    <mergeCell ref="G20:J20"/>
    <mergeCell ref="E21:F21"/>
    <mergeCell ref="K15:L15"/>
    <mergeCell ref="G21:J21"/>
    <mergeCell ref="E18:F18"/>
    <mergeCell ref="G18:J18"/>
    <mergeCell ref="A1:K1"/>
    <mergeCell ref="A2:E2"/>
    <mergeCell ref="D47:H47"/>
    <mergeCell ref="E22:F22"/>
    <mergeCell ref="G22:J22"/>
    <mergeCell ref="E23:F23"/>
    <mergeCell ref="G23:J23"/>
    <mergeCell ref="C40:D40"/>
    <mergeCell ref="A25:K25"/>
  </mergeCells>
  <dataValidations count="9">
    <dataValidation type="list" allowBlank="1" showInputMessage="1" showErrorMessage="1" promptTitle="Funding Source" prompt="Please pick from drop down." sqref="D19:D23" xr:uid="{5D080DB0-B77D-44C8-87B5-CC13DAA84877}">
      <formula1>$C$31:$D$31</formula1>
    </dataValidation>
    <dataValidation allowBlank="1" showInputMessage="1" showErrorMessage="1" promptTitle="TDOT Supervisor" prompt="Please enter District Supervisor or Regional Contact." sqref="C10:C11 D10:E10" xr:uid="{0B8FA0F2-144A-4742-807F-35EEE1BCE4CA}"/>
    <dataValidation allowBlank="1" showInputMessage="1" showErrorMessage="1" promptTitle="CONSULTANT PROJECT/JOB NO.:" prompt="For consultant purposes only." sqref="I10:I11" xr:uid="{C8602A44-7132-4EAA-9391-F266BBBAF458}"/>
    <dataValidation allowBlank="1" showInputMessage="1" showErrorMessage="1" promptTitle="Begin Date" prompt="First date of services included in this invoice." sqref="I14" xr:uid="{F78A18A7-E734-4EB6-86C6-8FB8A978ADB3}"/>
    <dataValidation allowBlank="1" showInputMessage="1" showErrorMessage="1" promptTitle="End Date" prompt="Last date of services included in this invoice." sqref="K14" xr:uid="{AE9041AC-D894-42BB-86FC-684977EE144F}"/>
    <dataValidation type="decimal" errorStyle="warning" operator="greaterThanOrEqual" allowBlank="1" showInputMessage="1" showErrorMessage="1" errorTitle="Contract or Project Ceiling" error="Contract or Project Ceiling must be greater than or equal to Total for this invoice plus the amount previously invoiced. " sqref="F41:J41" xr:uid="{BBA388C2-DD7C-4BCE-BC8B-7756A5403B21}">
      <formula1>F37</formula1>
    </dataValidation>
    <dataValidation type="decimal" errorStyle="warning" allowBlank="1" showInputMessage="1" showErrorMessage="1" errorTitle="Total Invoiced" error="Total Invoiced-to-date must be greater than or equal to Total for this invoice and less than or equal to Contract or Project Ceiling." sqref="F42:J42" xr:uid="{D1CA4F67-30B1-4B7E-BA48-DD66C1337997}">
      <formula1>F37-0.01</formula1>
      <formula2>F41+0.01</formula2>
    </dataValidation>
    <dataValidation type="list" allowBlank="1" showInputMessage="1" showErrorMessage="1" sqref="K10:K11" xr:uid="{489A43E3-B022-446D-A10A-BF44A2C17389}">
      <formula1>$D$50:$D$54</formula1>
    </dataValidation>
    <dataValidation type="list" allowBlank="1" showInputMessage="1" showErrorMessage="1" sqref="K15:L15" xr:uid="{E47B6C16-FD86-4A19-BEAC-1182FC21A6BD}">
      <formula1>$AD$13:$AD$14</formula1>
    </dataValidation>
  </dataValidations>
  <hyperlinks>
    <hyperlink ref="B8" r:id="rId1" xr:uid="{32E7AC2B-3597-4B0F-BDF5-0BCC6EFFA95D}"/>
    <hyperlink ref="J8" r:id="rId2" xr:uid="{3CE3BC27-E13E-49D3-AB92-080CA73FA2EC}"/>
  </hyperlinks>
  <printOptions horizontalCentered="1"/>
  <pageMargins left="0.2" right="0.2" top="0.625" bottom="0.5" header="0.3" footer="0.3"/>
  <pageSetup scale="96" fitToWidth="0" fitToHeight="0" orientation="portrait" r:id="rId3"/>
  <headerFooter>
    <oddHeader>&amp;L&amp;G&amp;C&amp;"Arial,Bold"&amp;12INVOICE SUMMARY&amp;RPROFESISIONAL SERVICES DIVISION</oddHeader>
    <oddFooter xml:space="preserve">&amp;R&amp;8Version Revised 03/28/2024  </oddFooter>
  </headerFooter>
  <legacyDrawingHF r:id="rId4"/>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B02FB-AB23-41C6-B581-031EC7D46B57}">
  <dimension ref="A1:S33"/>
  <sheetViews>
    <sheetView zoomScale="90" zoomScaleNormal="90" workbookViewId="0">
      <selection activeCell="L6" sqref="L6"/>
    </sheetView>
  </sheetViews>
  <sheetFormatPr defaultColWidth="9.140625" defaultRowHeight="15" x14ac:dyDescent="0.2"/>
  <cols>
    <col min="1" max="1" width="18.7109375" style="97" customWidth="1"/>
    <col min="2" max="2" width="15.140625" style="97" customWidth="1"/>
    <col min="3" max="3" width="20.85546875" style="97" customWidth="1"/>
    <col min="4" max="4" width="14.28515625" style="97" customWidth="1"/>
    <col min="5" max="5" width="14.5703125" style="97" customWidth="1"/>
    <col min="6" max="6" width="17.28515625" style="97" customWidth="1"/>
    <col min="7" max="7" width="16.42578125" style="97" customWidth="1"/>
    <col min="8" max="8" width="11.42578125" style="97" customWidth="1"/>
    <col min="9" max="9" width="13.5703125" style="97" customWidth="1"/>
    <col min="10" max="10" width="35.140625" style="97" customWidth="1"/>
    <col min="11" max="11" width="9.140625" style="97"/>
    <col min="12" max="12" width="37.28515625" style="97" customWidth="1"/>
    <col min="13" max="16384" width="9.140625" style="97"/>
  </cols>
  <sheetData>
    <row r="1" spans="1:19" ht="42" customHeight="1" x14ac:dyDescent="0.2">
      <c r="A1" s="92" t="s">
        <v>70</v>
      </c>
      <c r="B1" s="93" t="s">
        <v>71</v>
      </c>
      <c r="C1" s="93" t="s">
        <v>72</v>
      </c>
      <c r="D1" s="94" t="s">
        <v>73</v>
      </c>
      <c r="E1" s="95" t="s">
        <v>74</v>
      </c>
      <c r="F1" s="93" t="s">
        <v>75</v>
      </c>
      <c r="G1" s="95" t="s">
        <v>76</v>
      </c>
      <c r="H1" s="93" t="s">
        <v>77</v>
      </c>
      <c r="I1" s="93" t="s">
        <v>78</v>
      </c>
      <c r="J1" s="96" t="s">
        <v>79</v>
      </c>
      <c r="L1" s="235" t="s">
        <v>212</v>
      </c>
    </row>
    <row r="2" spans="1:19" ht="15" customHeight="1" x14ac:dyDescent="0.2">
      <c r="A2" s="181" t="s">
        <v>175</v>
      </c>
      <c r="B2" s="229" t="str">
        <f>_xlfn.XLOOKUP($C2,'Rates_PIN_Prj#_TX# input'!$N:$N,'Rates_PIN_Prj#_TX# input'!$M:$M,"")&amp;""</f>
        <v>124128.00</v>
      </c>
      <c r="C2" s="182" t="s">
        <v>130</v>
      </c>
      <c r="D2" s="134" t="str">
        <f>_xlfn.XLOOKUP($C2,'Rates_PIN_Prj#_TX# input'!$N:$N,'Rates_PIN_Prj#_TX# input'!$Q:$Q,"")&amp;""</f>
        <v/>
      </c>
      <c r="E2" s="134" t="str">
        <f>_xlfn.XLOOKUP($C2,'Rates_PIN_Prj#_TX# input'!$N:$N,'Rates_PIN_Prj#_TX# input'!$O:$O,"")&amp;""</f>
        <v>Federal</v>
      </c>
      <c r="F2" s="134" t="str">
        <f>_xlfn.XLOOKUP($C2,'Rates_PIN_Prj#_TX# input'!$N:$N,'Rates_PIN_Prj#_TX# input'!$P:$P,"")&amp;""</f>
        <v>TX00289992</v>
      </c>
      <c r="G2" s="202">
        <v>1</v>
      </c>
      <c r="H2" s="190">
        <f>_xlfn.XLOOKUP(A2,'Rates_PIN_Prj#_TX# input'!$A$7:$A$14,'Rates_PIN_Prj#_TX# input'!$B$7:$B$14,'Total Labor Summary'!H2)</f>
        <v>78</v>
      </c>
      <c r="I2" s="190">
        <f t="shared" ref="I2:I30" si="0">ROUND(G2*H2,2)</f>
        <v>78</v>
      </c>
      <c r="J2" s="99"/>
      <c r="M2" s="236"/>
      <c r="N2" s="236"/>
      <c r="O2" s="236"/>
      <c r="P2" s="236"/>
      <c r="Q2" s="236"/>
      <c r="R2" s="236"/>
      <c r="S2" s="236"/>
    </row>
    <row r="3" spans="1:19" x14ac:dyDescent="0.2">
      <c r="A3" s="181" t="s">
        <v>175</v>
      </c>
      <c r="B3" s="229" t="str">
        <f>_xlfn.XLOOKUP($C3,'Rates_PIN_Prj#_TX# input'!$N:$N,'Rates_PIN_Prj#_TX# input'!$M:$M,"")&amp;""</f>
        <v>124677.00</v>
      </c>
      <c r="C3" s="182" t="s">
        <v>124</v>
      </c>
      <c r="D3" s="134" t="str">
        <f>_xlfn.XLOOKUP($C3,'Rates_PIN_Prj#_TX# input'!$N:$N,'Rates_PIN_Prj#_TX# input'!$Q:$Q,"")&amp;""</f>
        <v/>
      </c>
      <c r="E3" s="134" t="str">
        <f>_xlfn.XLOOKUP($C3,'Rates_PIN_Prj#_TX# input'!$N:$N,'Rates_PIN_Prj#_TX# input'!$O:$O,"")&amp;""</f>
        <v>Federal</v>
      </c>
      <c r="F3" s="134" t="str">
        <f>_xlfn.XLOOKUP($C3,'Rates_PIN_Prj#_TX# input'!$N:$N,'Rates_PIN_Prj#_TX# input'!$P:$P,"")&amp;""</f>
        <v>TX00281527</v>
      </c>
      <c r="G3" s="202">
        <v>5</v>
      </c>
      <c r="H3" s="190">
        <f>_xlfn.XLOOKUP(A3,'Rates_PIN_Prj#_TX# input'!$A$7:$A$14,'Rates_PIN_Prj#_TX# input'!$B$7:$B$14,'Total Labor Summary'!H3)</f>
        <v>78</v>
      </c>
      <c r="I3" s="190">
        <f t="shared" si="0"/>
        <v>390</v>
      </c>
      <c r="J3" s="99"/>
      <c r="M3" s="236"/>
      <c r="N3" s="236"/>
      <c r="O3" s="236"/>
      <c r="P3" s="236"/>
      <c r="Q3" s="236"/>
      <c r="R3" s="236"/>
      <c r="S3" s="236"/>
    </row>
    <row r="4" spans="1:19" x14ac:dyDescent="0.2">
      <c r="A4" s="181" t="s">
        <v>175</v>
      </c>
      <c r="B4" s="229" t="str">
        <f>_xlfn.XLOOKUP($C4,'Rates_PIN_Prj#_TX# input'!$N:$N,'Rates_PIN_Prj#_TX# input'!$M:$M,"")&amp;""</f>
        <v>107579.00</v>
      </c>
      <c r="C4" s="182" t="s">
        <v>111</v>
      </c>
      <c r="D4" s="134" t="str">
        <f>_xlfn.XLOOKUP($C4,'Rates_PIN_Prj#_TX# input'!$N:$N,'Rates_PIN_Prj#_TX# input'!$Q:$Q,"")&amp;""</f>
        <v/>
      </c>
      <c r="E4" s="134" t="str">
        <f>_xlfn.XLOOKUP($C4,'Rates_PIN_Prj#_TX# input'!$N:$N,'Rates_PIN_Prj#_TX# input'!$O:$O,"")&amp;""</f>
        <v>Federal</v>
      </c>
      <c r="F4" s="134" t="str">
        <f>_xlfn.XLOOKUP($C4,'Rates_PIN_Prj#_TX# input'!$N:$N,'Rates_PIN_Prj#_TX# input'!$P:$P,"")&amp;""</f>
        <v>TX00298220</v>
      </c>
      <c r="G4" s="202">
        <v>1</v>
      </c>
      <c r="H4" s="190">
        <f>_xlfn.XLOOKUP(A4,'Rates_PIN_Prj#_TX# input'!$A$7:$A$14,'Rates_PIN_Prj#_TX# input'!$B$7:$B$14,'Total Labor Summary'!H4)</f>
        <v>78</v>
      </c>
      <c r="I4" s="190">
        <f t="shared" si="0"/>
        <v>78</v>
      </c>
      <c r="J4" s="99"/>
    </row>
    <row r="5" spans="1:19" x14ac:dyDescent="0.2">
      <c r="A5" s="181" t="s">
        <v>175</v>
      </c>
      <c r="B5" s="229" t="str">
        <f>_xlfn.XLOOKUP($C5,'Rates_PIN_Prj#_TX# input'!$N:$N,'Rates_PIN_Prj#_TX# input'!$M:$M,"")&amp;""</f>
        <v>131306.00</v>
      </c>
      <c r="C5" s="182" t="s">
        <v>128</v>
      </c>
      <c r="D5" s="134" t="str">
        <f>_xlfn.XLOOKUP($C5,'Rates_PIN_Prj#_TX# input'!$N:$N,'Rates_PIN_Prj#_TX# input'!$Q:$Q,"")&amp;""</f>
        <v/>
      </c>
      <c r="E5" s="134" t="str">
        <f>_xlfn.XLOOKUP($C5,'Rates_PIN_Prj#_TX# input'!$N:$N,'Rates_PIN_Prj#_TX# input'!$O:$O,"")&amp;""</f>
        <v>Federal</v>
      </c>
      <c r="F5" s="134" t="str">
        <f>_xlfn.XLOOKUP($C5,'Rates_PIN_Prj#_TX# input'!$N:$N,'Rates_PIN_Prj#_TX# input'!$P:$P,"")&amp;""</f>
        <v>TX00311681</v>
      </c>
      <c r="G5" s="202">
        <v>2</v>
      </c>
      <c r="H5" s="190">
        <f>_xlfn.XLOOKUP(A5,'Rates_PIN_Prj#_TX# input'!$A$7:$A$14,'Rates_PIN_Prj#_TX# input'!$B$7:$B$14,'Total Labor Summary'!H5)</f>
        <v>78</v>
      </c>
      <c r="I5" s="190">
        <f t="shared" si="0"/>
        <v>156</v>
      </c>
      <c r="J5" s="99"/>
    </row>
    <row r="6" spans="1:19" x14ac:dyDescent="0.2">
      <c r="A6" s="181" t="s">
        <v>175</v>
      </c>
      <c r="B6" s="229" t="str">
        <f>_xlfn.XLOOKUP($C6,'Rates_PIN_Prj#_TX# input'!$N:$N,'Rates_PIN_Prj#_TX# input'!$M:$M,"")&amp;""</f>
        <v>102380.02</v>
      </c>
      <c r="C6" s="182" t="s">
        <v>126</v>
      </c>
      <c r="D6" s="134" t="str">
        <f>_xlfn.XLOOKUP($C6,'Rates_PIN_Prj#_TX# input'!$N:$N,'Rates_PIN_Prj#_TX# input'!$Q:$Q,"")&amp;""</f>
        <v/>
      </c>
      <c r="E6" s="134" t="str">
        <f>_xlfn.XLOOKUP($C6,'Rates_PIN_Prj#_TX# input'!$N:$N,'Rates_PIN_Prj#_TX# input'!$O:$O,"")&amp;""</f>
        <v>Federal</v>
      </c>
      <c r="F6" s="134" t="str">
        <f>_xlfn.XLOOKUP($C6,'Rates_PIN_Prj#_TX# input'!$N:$N,'Rates_PIN_Prj#_TX# input'!$P:$P,"")&amp;""</f>
        <v>TX00293241</v>
      </c>
      <c r="G6" s="203">
        <v>1</v>
      </c>
      <c r="H6" s="190">
        <f>_xlfn.XLOOKUP(A6,'Rates_PIN_Prj#_TX# input'!$A$7:$A$14,'Rates_PIN_Prj#_TX# input'!$B$7:$B$14,'Total Labor Summary'!H6)</f>
        <v>78</v>
      </c>
      <c r="I6" s="190">
        <f t="shared" si="0"/>
        <v>78</v>
      </c>
      <c r="J6" s="99"/>
    </row>
    <row r="7" spans="1:19" x14ac:dyDescent="0.2">
      <c r="A7" s="181" t="s">
        <v>177</v>
      </c>
      <c r="B7" s="229" t="str">
        <f>_xlfn.XLOOKUP($C7,'Rates_PIN_Prj#_TX# input'!$N:$N,'Rates_PIN_Prj#_TX# input'!$M:$M,"")&amp;""</f>
        <v>124128.00</v>
      </c>
      <c r="C7" s="183" t="s">
        <v>130</v>
      </c>
      <c r="D7" s="134" t="str">
        <f>_xlfn.XLOOKUP($C7,'Rates_PIN_Prj#_TX# input'!$N:$N,'Rates_PIN_Prj#_TX# input'!$Q:$Q,"")&amp;""</f>
        <v/>
      </c>
      <c r="E7" s="134" t="str">
        <f>_xlfn.XLOOKUP($C7,'Rates_PIN_Prj#_TX# input'!$N:$N,'Rates_PIN_Prj#_TX# input'!$O:$O,"")&amp;""</f>
        <v>Federal</v>
      </c>
      <c r="F7" s="134" t="str">
        <f>_xlfn.XLOOKUP($C7,'Rates_PIN_Prj#_TX# input'!$N:$N,'Rates_PIN_Prj#_TX# input'!$P:$P,"")&amp;""</f>
        <v>TX00289992</v>
      </c>
      <c r="G7" s="203">
        <v>4</v>
      </c>
      <c r="H7" s="190">
        <f>_xlfn.XLOOKUP(A7,'Rates_PIN_Prj#_TX# input'!$A$7:$A$14,'Rates_PIN_Prj#_TX# input'!$B$7:$B$14,'Total Labor Summary'!H7)</f>
        <v>36</v>
      </c>
      <c r="I7" s="190">
        <f t="shared" si="0"/>
        <v>144</v>
      </c>
      <c r="J7" s="99"/>
    </row>
    <row r="8" spans="1:19" x14ac:dyDescent="0.2">
      <c r="A8" s="181" t="s">
        <v>177</v>
      </c>
      <c r="B8" s="229" t="str">
        <f>_xlfn.XLOOKUP($C8,'Rates_PIN_Prj#_TX# input'!$N:$N,'Rates_PIN_Prj#_TX# input'!$M:$M,"")&amp;""</f>
        <v>105768.00</v>
      </c>
      <c r="C8" s="183" t="s">
        <v>147</v>
      </c>
      <c r="D8" s="134" t="str">
        <f>_xlfn.XLOOKUP($C8,'Rates_PIN_Prj#_TX# input'!$N:$N,'Rates_PIN_Prj#_TX# input'!$Q:$Q,"")&amp;""</f>
        <v/>
      </c>
      <c r="E8" s="134" t="str">
        <f>_xlfn.XLOOKUP($C8,'Rates_PIN_Prj#_TX# input'!$N:$N,'Rates_PIN_Prj#_TX# input'!$O:$O,"")&amp;""</f>
        <v>Federal</v>
      </c>
      <c r="F8" s="134" t="str">
        <f>_xlfn.XLOOKUP($C8,'Rates_PIN_Prj#_TX# input'!$N:$N,'Rates_PIN_Prj#_TX# input'!$P:$P,"")&amp;""</f>
        <v>TX00314115</v>
      </c>
      <c r="G8" s="203">
        <v>1.5</v>
      </c>
      <c r="H8" s="190">
        <f>_xlfn.XLOOKUP(A8,'Rates_PIN_Prj#_TX# input'!$A$7:$A$14,'Rates_PIN_Prj#_TX# input'!$B$7:$B$14,'Total Labor Summary'!H8)</f>
        <v>36</v>
      </c>
      <c r="I8" s="190">
        <f t="shared" si="0"/>
        <v>54</v>
      </c>
      <c r="J8" s="99"/>
    </row>
    <row r="9" spans="1:19" x14ac:dyDescent="0.2">
      <c r="A9" s="181" t="s">
        <v>177</v>
      </c>
      <c r="B9" s="229" t="str">
        <f>_xlfn.XLOOKUP($C9,'Rates_PIN_Prj#_TX# input'!$N:$N,'Rates_PIN_Prj#_TX# input'!$M:$M,"")&amp;""</f>
        <v>124677.00</v>
      </c>
      <c r="C9" s="183" t="s">
        <v>124</v>
      </c>
      <c r="D9" s="134" t="str">
        <f>_xlfn.XLOOKUP($C9,'Rates_PIN_Prj#_TX# input'!$N:$N,'Rates_PIN_Prj#_TX# input'!$Q:$Q,"")&amp;""</f>
        <v/>
      </c>
      <c r="E9" s="134" t="str">
        <f>_xlfn.XLOOKUP($C9,'Rates_PIN_Prj#_TX# input'!$N:$N,'Rates_PIN_Prj#_TX# input'!$O:$O,"")&amp;""</f>
        <v>Federal</v>
      </c>
      <c r="F9" s="134" t="str">
        <f>_xlfn.XLOOKUP($C9,'Rates_PIN_Prj#_TX# input'!$N:$N,'Rates_PIN_Prj#_TX# input'!$P:$P,"")&amp;""</f>
        <v>TX00281527</v>
      </c>
      <c r="G9" s="203">
        <v>5</v>
      </c>
      <c r="H9" s="190">
        <f>_xlfn.XLOOKUP(A9,'Rates_PIN_Prj#_TX# input'!$A$7:$A$14,'Rates_PIN_Prj#_TX# input'!$B$7:$B$14,'Total Labor Summary'!H9)</f>
        <v>36</v>
      </c>
      <c r="I9" s="190">
        <f t="shared" si="0"/>
        <v>180</v>
      </c>
      <c r="J9" s="99"/>
    </row>
    <row r="10" spans="1:19" x14ac:dyDescent="0.2">
      <c r="A10" s="181" t="s">
        <v>177</v>
      </c>
      <c r="B10" s="229" t="str">
        <f>_xlfn.XLOOKUP($C10,'Rates_PIN_Prj#_TX# input'!$N:$N,'Rates_PIN_Prj#_TX# input'!$M:$M,"")&amp;""</f>
        <v>118852.01</v>
      </c>
      <c r="C10" s="183" t="s">
        <v>158</v>
      </c>
      <c r="D10" s="134" t="str">
        <f>_xlfn.XLOOKUP($C10,'Rates_PIN_Prj#_TX# input'!$N:$N,'Rates_PIN_Prj#_TX# input'!$Q:$Q,"")&amp;""</f>
        <v/>
      </c>
      <c r="E10" s="134" t="str">
        <f>_xlfn.XLOOKUP($C10,'Rates_PIN_Prj#_TX# input'!$N:$N,'Rates_PIN_Prj#_TX# input'!$O:$O,"")&amp;""</f>
        <v>Federal</v>
      </c>
      <c r="F10" s="134" t="str">
        <f>_xlfn.XLOOKUP($C10,'Rates_PIN_Prj#_TX# input'!$N:$N,'Rates_PIN_Prj#_TX# input'!$P:$P,"")&amp;""</f>
        <v>TX00303023</v>
      </c>
      <c r="G10" s="203">
        <v>0.5</v>
      </c>
      <c r="H10" s="190">
        <f>_xlfn.XLOOKUP(A10,'Rates_PIN_Prj#_TX# input'!$A$7:$A$14,'Rates_PIN_Prj#_TX# input'!$B$7:$B$14,'Total Labor Summary'!H10)</f>
        <v>36</v>
      </c>
      <c r="I10" s="190">
        <f t="shared" si="0"/>
        <v>18</v>
      </c>
      <c r="J10" s="99"/>
    </row>
    <row r="11" spans="1:19" x14ac:dyDescent="0.2">
      <c r="A11" s="181" t="s">
        <v>177</v>
      </c>
      <c r="B11" s="229" t="str">
        <f>_xlfn.XLOOKUP($C11,'Rates_PIN_Prj#_TX# input'!$N:$N,'Rates_PIN_Prj#_TX# input'!$M:$M,"")&amp;""</f>
        <v>107579.00</v>
      </c>
      <c r="C11" s="183" t="s">
        <v>111</v>
      </c>
      <c r="D11" s="134" t="str">
        <f>_xlfn.XLOOKUP($C11,'Rates_PIN_Prj#_TX# input'!$N:$N,'Rates_PIN_Prj#_TX# input'!$Q:$Q,"")&amp;""</f>
        <v/>
      </c>
      <c r="E11" s="134" t="str">
        <f>_xlfn.XLOOKUP($C11,'Rates_PIN_Prj#_TX# input'!$N:$N,'Rates_PIN_Prj#_TX# input'!$O:$O,"")&amp;""</f>
        <v>Federal</v>
      </c>
      <c r="F11" s="134" t="str">
        <f>_xlfn.XLOOKUP($C11,'Rates_PIN_Prj#_TX# input'!$N:$N,'Rates_PIN_Prj#_TX# input'!$P:$P,"")&amp;""</f>
        <v>TX00298220</v>
      </c>
      <c r="G11" s="203">
        <v>5.5</v>
      </c>
      <c r="H11" s="190">
        <f>_xlfn.XLOOKUP(A11,'Rates_PIN_Prj#_TX# input'!$A$7:$A$14,'Rates_PIN_Prj#_TX# input'!$B$7:$B$14,'Total Labor Summary'!H11)</f>
        <v>36</v>
      </c>
      <c r="I11" s="190">
        <f t="shared" si="0"/>
        <v>198</v>
      </c>
      <c r="J11" s="99"/>
    </row>
    <row r="12" spans="1:19" x14ac:dyDescent="0.2">
      <c r="A12" s="181" t="s">
        <v>177</v>
      </c>
      <c r="B12" s="229" t="str">
        <f>_xlfn.XLOOKUP($C12,'Rates_PIN_Prj#_TX# input'!$N:$N,'Rates_PIN_Prj#_TX# input'!$M:$M,"")&amp;""</f>
        <v>101886.02</v>
      </c>
      <c r="C12" s="183" t="s">
        <v>156</v>
      </c>
      <c r="D12" s="134" t="str">
        <f>_xlfn.XLOOKUP($C12,'Rates_PIN_Prj#_TX# input'!$N:$N,'Rates_PIN_Prj#_TX# input'!$Q:$Q,"")&amp;""</f>
        <v/>
      </c>
      <c r="E12" s="134" t="str">
        <f>_xlfn.XLOOKUP($C12,'Rates_PIN_Prj#_TX# input'!$N:$N,'Rates_PIN_Prj#_TX# input'!$O:$O,"")&amp;""</f>
        <v>Federal</v>
      </c>
      <c r="F12" s="134" t="str">
        <f>_xlfn.XLOOKUP($C12,'Rates_PIN_Prj#_TX# input'!$N:$N,'Rates_PIN_Prj#_TX# input'!$P:$P,"")&amp;""</f>
        <v>TX00286510</v>
      </c>
      <c r="G12" s="203">
        <v>1.5</v>
      </c>
      <c r="H12" s="190">
        <f>_xlfn.XLOOKUP(A12,'Rates_PIN_Prj#_TX# input'!$A$7:$A$14,'Rates_PIN_Prj#_TX# input'!$B$7:$B$14,'Total Labor Summary'!H12)</f>
        <v>36</v>
      </c>
      <c r="I12" s="190">
        <f t="shared" si="0"/>
        <v>54</v>
      </c>
      <c r="J12" s="99"/>
    </row>
    <row r="13" spans="1:19" x14ac:dyDescent="0.2">
      <c r="A13" s="181" t="s">
        <v>177</v>
      </c>
      <c r="B13" s="229" t="str">
        <f>_xlfn.XLOOKUP($C13,'Rates_PIN_Prj#_TX# input'!$N:$N,'Rates_PIN_Prj#_TX# input'!$M:$M,"")&amp;""</f>
        <v>129457.00</v>
      </c>
      <c r="C13" s="183" t="s">
        <v>164</v>
      </c>
      <c r="D13" s="134" t="str">
        <f>_xlfn.XLOOKUP($C13,'Rates_PIN_Prj#_TX# input'!$N:$N,'Rates_PIN_Prj#_TX# input'!$Q:$Q,"")&amp;""</f>
        <v/>
      </c>
      <c r="E13" s="134" t="str">
        <f>_xlfn.XLOOKUP($C13,'Rates_PIN_Prj#_TX# input'!$N:$N,'Rates_PIN_Prj#_TX# input'!$O:$O,"")&amp;""</f>
        <v>Federal</v>
      </c>
      <c r="F13" s="134" t="str">
        <f>_xlfn.XLOOKUP($C13,'Rates_PIN_Prj#_TX# input'!$N:$N,'Rates_PIN_Prj#_TX# input'!$P:$P,"")&amp;""</f>
        <v>TX00310760</v>
      </c>
      <c r="G13" s="203">
        <v>3</v>
      </c>
      <c r="H13" s="190">
        <f>_xlfn.XLOOKUP(A13,'Rates_PIN_Prj#_TX# input'!$A$7:$A$14,'Rates_PIN_Prj#_TX# input'!$B$7:$B$14,'Total Labor Summary'!H13)</f>
        <v>36</v>
      </c>
      <c r="I13" s="190">
        <f t="shared" si="0"/>
        <v>108</v>
      </c>
      <c r="J13" s="99"/>
    </row>
    <row r="14" spans="1:19" x14ac:dyDescent="0.2">
      <c r="A14" s="181" t="s">
        <v>176</v>
      </c>
      <c r="B14" s="229" t="str">
        <f>_xlfn.XLOOKUP($C14,'Rates_PIN_Prj#_TX# input'!$N:$N,'Rates_PIN_Prj#_TX# input'!$M:$M,"")&amp;""</f>
        <v>105768.00</v>
      </c>
      <c r="C14" s="183" t="s">
        <v>147</v>
      </c>
      <c r="D14" s="134" t="str">
        <f>_xlfn.XLOOKUP($C14,'Rates_PIN_Prj#_TX# input'!$N:$N,'Rates_PIN_Prj#_TX# input'!$Q:$Q,"")&amp;""</f>
        <v/>
      </c>
      <c r="E14" s="134" t="str">
        <f>_xlfn.XLOOKUP($C14,'Rates_PIN_Prj#_TX# input'!$N:$N,'Rates_PIN_Prj#_TX# input'!$O:$O,"")&amp;""</f>
        <v>Federal</v>
      </c>
      <c r="F14" s="134" t="str">
        <f>_xlfn.XLOOKUP($C14,'Rates_PIN_Prj#_TX# input'!$N:$N,'Rates_PIN_Prj#_TX# input'!$P:$P,"")&amp;""</f>
        <v>TX00314115</v>
      </c>
      <c r="G14" s="203">
        <v>7</v>
      </c>
      <c r="H14" s="190">
        <f>_xlfn.XLOOKUP(A14,'Rates_PIN_Prj#_TX# input'!$A$7:$A$14,'Rates_PIN_Prj#_TX# input'!$B$7:$B$14,'Total Labor Summary'!H14)</f>
        <v>28</v>
      </c>
      <c r="I14" s="190">
        <f t="shared" si="0"/>
        <v>196</v>
      </c>
      <c r="J14" s="99"/>
    </row>
    <row r="15" spans="1:19" x14ac:dyDescent="0.2">
      <c r="A15" s="181" t="s">
        <v>176</v>
      </c>
      <c r="B15" s="229" t="str">
        <f>_xlfn.XLOOKUP($C15,'Rates_PIN_Prj#_TX# input'!$N:$N,'Rates_PIN_Prj#_TX# input'!$M:$M,"")&amp;""</f>
        <v>100326.02</v>
      </c>
      <c r="C15" s="183" t="s">
        <v>141</v>
      </c>
      <c r="D15" s="134" t="str">
        <f>_xlfn.XLOOKUP($C15,'Rates_PIN_Prj#_TX# input'!$N:$N,'Rates_PIN_Prj#_TX# input'!$Q:$Q,"")&amp;""</f>
        <v/>
      </c>
      <c r="E15" s="134" t="str">
        <f>_xlfn.XLOOKUP($C15,'Rates_PIN_Prj#_TX# input'!$N:$N,'Rates_PIN_Prj#_TX# input'!$O:$O,"")&amp;""</f>
        <v>Federal</v>
      </c>
      <c r="F15" s="134" t="str">
        <f>_xlfn.XLOOKUP($C15,'Rates_PIN_Prj#_TX# input'!$N:$N,'Rates_PIN_Prj#_TX# input'!$P:$P,"")&amp;""</f>
        <v>TX00267289</v>
      </c>
      <c r="G15" s="203">
        <v>8.5</v>
      </c>
      <c r="H15" s="190">
        <f>_xlfn.XLOOKUP(A15,'Rates_PIN_Prj#_TX# input'!$A$7:$A$14,'Rates_PIN_Prj#_TX# input'!$B$7:$B$14,'Total Labor Summary'!H15)</f>
        <v>28</v>
      </c>
      <c r="I15" s="190">
        <f t="shared" si="0"/>
        <v>238</v>
      </c>
      <c r="J15" s="99"/>
    </row>
    <row r="16" spans="1:19" x14ac:dyDescent="0.2">
      <c r="A16" s="181" t="s">
        <v>176</v>
      </c>
      <c r="B16" s="229" t="str">
        <f>_xlfn.XLOOKUP($C16,'Rates_PIN_Prj#_TX# input'!$N:$N,'Rates_PIN_Prj#_TX# input'!$M:$M,"")&amp;""</f>
        <v>107579.00</v>
      </c>
      <c r="C16" s="183" t="s">
        <v>111</v>
      </c>
      <c r="D16" s="134" t="str">
        <f>_xlfn.XLOOKUP($C16,'Rates_PIN_Prj#_TX# input'!$N:$N,'Rates_PIN_Prj#_TX# input'!$Q:$Q,"")&amp;""</f>
        <v/>
      </c>
      <c r="E16" s="134" t="str">
        <f>_xlfn.XLOOKUP($C16,'Rates_PIN_Prj#_TX# input'!$N:$N,'Rates_PIN_Prj#_TX# input'!$O:$O,"")&amp;""</f>
        <v>Federal</v>
      </c>
      <c r="F16" s="134" t="str">
        <f>_xlfn.XLOOKUP($C16,'Rates_PIN_Prj#_TX# input'!$N:$N,'Rates_PIN_Prj#_TX# input'!$P:$P,"")&amp;""</f>
        <v>TX00298220</v>
      </c>
      <c r="G16" s="203">
        <v>2.5</v>
      </c>
      <c r="H16" s="190">
        <f>_xlfn.XLOOKUP(A16,'Rates_PIN_Prj#_TX# input'!$A$7:$A$14,'Rates_PIN_Prj#_TX# input'!$B$7:$B$14,'Total Labor Summary'!H16)</f>
        <v>28</v>
      </c>
      <c r="I16" s="190">
        <f t="shared" si="0"/>
        <v>70</v>
      </c>
      <c r="J16" s="99"/>
    </row>
    <row r="17" spans="1:10" x14ac:dyDescent="0.2">
      <c r="A17" s="181" t="s">
        <v>176</v>
      </c>
      <c r="B17" s="229" t="str">
        <f>_xlfn.XLOOKUP($C17,'Rates_PIN_Prj#_TX# input'!$N:$N,'Rates_PIN_Prj#_TX# input'!$M:$M,"")&amp;""</f>
        <v>106982.00</v>
      </c>
      <c r="C17" s="183" t="s">
        <v>145</v>
      </c>
      <c r="D17" s="134" t="str">
        <f>_xlfn.XLOOKUP($C17,'Rates_PIN_Prj#_TX# input'!$N:$N,'Rates_PIN_Prj#_TX# input'!$Q:$Q,"")&amp;""</f>
        <v/>
      </c>
      <c r="E17" s="134" t="str">
        <f>_xlfn.XLOOKUP($C17,'Rates_PIN_Prj#_TX# input'!$N:$N,'Rates_PIN_Prj#_TX# input'!$O:$O,"")&amp;""</f>
        <v>Federal</v>
      </c>
      <c r="F17" s="134" t="str">
        <f>_xlfn.XLOOKUP($C17,'Rates_PIN_Prj#_TX# input'!$N:$N,'Rates_PIN_Prj#_TX# input'!$P:$P,"")&amp;""</f>
        <v>TX00217159</v>
      </c>
      <c r="G17" s="203">
        <v>4</v>
      </c>
      <c r="H17" s="190">
        <f>_xlfn.XLOOKUP(A17,'Rates_PIN_Prj#_TX# input'!$A$7:$A$14,'Rates_PIN_Prj#_TX# input'!$B$7:$B$14,'Total Labor Summary'!H17)</f>
        <v>28</v>
      </c>
      <c r="I17" s="190">
        <f t="shared" si="0"/>
        <v>112</v>
      </c>
      <c r="J17" s="99"/>
    </row>
    <row r="18" spans="1:10" x14ac:dyDescent="0.2">
      <c r="A18" s="181" t="s">
        <v>176</v>
      </c>
      <c r="B18" s="229" t="str">
        <f>_xlfn.XLOOKUP($C18,'Rates_PIN_Prj#_TX# input'!$N:$N,'Rates_PIN_Prj#_TX# input'!$M:$M,"")&amp;""</f>
        <v>115906.00</v>
      </c>
      <c r="C18" s="183" t="s">
        <v>139</v>
      </c>
      <c r="D18" s="134" t="str">
        <f>_xlfn.XLOOKUP($C18,'Rates_PIN_Prj#_TX# input'!$N:$N,'Rates_PIN_Prj#_TX# input'!$Q:$Q,"")&amp;""</f>
        <v/>
      </c>
      <c r="E18" s="134" t="str">
        <f>_xlfn.XLOOKUP($C18,'Rates_PIN_Prj#_TX# input'!$N:$N,'Rates_PIN_Prj#_TX# input'!$O:$O,"")&amp;""</f>
        <v>Federal</v>
      </c>
      <c r="F18" s="134" t="str">
        <f>_xlfn.XLOOKUP($C18,'Rates_PIN_Prj#_TX# input'!$N:$N,'Rates_PIN_Prj#_TX# input'!$P:$P,"")&amp;""</f>
        <v>TX00304080</v>
      </c>
      <c r="G18" s="203">
        <v>4</v>
      </c>
      <c r="H18" s="190">
        <f>_xlfn.XLOOKUP(A18,'Rates_PIN_Prj#_TX# input'!$A$7:$A$14,'Rates_PIN_Prj#_TX# input'!$B$7:$B$14,'Total Labor Summary'!H18)</f>
        <v>28</v>
      </c>
      <c r="I18" s="190">
        <f t="shared" si="0"/>
        <v>112</v>
      </c>
      <c r="J18" s="99"/>
    </row>
    <row r="19" spans="1:10" x14ac:dyDescent="0.2">
      <c r="A19" s="181" t="s">
        <v>176</v>
      </c>
      <c r="B19" s="229" t="str">
        <f>_xlfn.XLOOKUP($C19,'Rates_PIN_Prj#_TX# input'!$N:$N,'Rates_PIN_Prj#_TX# input'!$M:$M,"")&amp;""</f>
        <v>112834.03</v>
      </c>
      <c r="C19" s="183" t="s">
        <v>143</v>
      </c>
      <c r="D19" s="134" t="str">
        <f>_xlfn.XLOOKUP($C19,'Rates_PIN_Prj#_TX# input'!$N:$N,'Rates_PIN_Prj#_TX# input'!$Q:$Q,"")&amp;""</f>
        <v/>
      </c>
      <c r="E19" s="134" t="str">
        <f>_xlfn.XLOOKUP($C19,'Rates_PIN_Prj#_TX# input'!$N:$N,'Rates_PIN_Prj#_TX# input'!$O:$O,"")&amp;""</f>
        <v>Federal</v>
      </c>
      <c r="F19" s="134" t="str">
        <f>_xlfn.XLOOKUP($C19,'Rates_PIN_Prj#_TX# input'!$N:$N,'Rates_PIN_Prj#_TX# input'!$P:$P,"")&amp;""</f>
        <v>TX00235485</v>
      </c>
      <c r="G19" s="203">
        <v>2</v>
      </c>
      <c r="H19" s="190">
        <f>_xlfn.XLOOKUP(A19,'Rates_PIN_Prj#_TX# input'!$A$7:$A$14,'Rates_PIN_Prj#_TX# input'!$B$7:$B$14,'Total Labor Summary'!H19)</f>
        <v>28</v>
      </c>
      <c r="I19" s="190">
        <f t="shared" si="0"/>
        <v>56</v>
      </c>
      <c r="J19" s="99"/>
    </row>
    <row r="20" spans="1:10" x14ac:dyDescent="0.2">
      <c r="A20" s="184" t="s">
        <v>191</v>
      </c>
      <c r="B20" s="229" t="str">
        <f>_xlfn.XLOOKUP($C20,'Rates_PIN_Prj#_TX# input'!$N:$N,'Rates_PIN_Prj#_TX# input'!$M:$M,"")&amp;""</f>
        <v>109542.01</v>
      </c>
      <c r="C20" s="183" t="s">
        <v>194</v>
      </c>
      <c r="D20" s="134" t="str">
        <f>_xlfn.XLOOKUP($C20,'Rates_PIN_Prj#_TX# input'!$N:$N,'Rates_PIN_Prj#_TX# input'!$Q:$Q,"")&amp;""</f>
        <v/>
      </c>
      <c r="E20" s="134" t="str">
        <f>_xlfn.XLOOKUP($C20,'Rates_PIN_Prj#_TX# input'!$N:$N,'Rates_PIN_Prj#_TX# input'!$O:$O,"")&amp;""</f>
        <v>Federal</v>
      </c>
      <c r="F20" s="134" t="str">
        <f>_xlfn.XLOOKUP($C20,'Rates_PIN_Prj#_TX# input'!$N:$N,'Rates_PIN_Prj#_TX# input'!$P:$P,"")&amp;""</f>
        <v>TX00309997</v>
      </c>
      <c r="G20" s="203">
        <v>0.5</v>
      </c>
      <c r="H20" s="190">
        <f>_xlfn.XLOOKUP(A20,'Rates_PIN_Prj#_TX# input'!$A$7:$A$14,'Rates_PIN_Prj#_TX# input'!$B$7:$B$14,'Total Labor Summary'!H20)</f>
        <v>30</v>
      </c>
      <c r="I20" s="190">
        <f t="shared" si="0"/>
        <v>15</v>
      </c>
      <c r="J20" s="99"/>
    </row>
    <row r="21" spans="1:10" x14ac:dyDescent="0.2">
      <c r="A21" s="184" t="s">
        <v>191</v>
      </c>
      <c r="B21" s="229" t="str">
        <f>_xlfn.XLOOKUP($C21,'Rates_PIN_Prj#_TX# input'!$N:$N,'Rates_PIN_Prj#_TX# input'!$M:$M,"")&amp;""</f>
        <v>124154.00</v>
      </c>
      <c r="C21" s="183" t="s">
        <v>196</v>
      </c>
      <c r="D21" s="134" t="str">
        <f>_xlfn.XLOOKUP($C21,'Rates_PIN_Prj#_TX# input'!$N:$N,'Rates_PIN_Prj#_TX# input'!$Q:$Q,"")&amp;""</f>
        <v/>
      </c>
      <c r="E21" s="134" t="str">
        <f>_xlfn.XLOOKUP($C21,'Rates_PIN_Prj#_TX# input'!$N:$N,'Rates_PIN_Prj#_TX# input'!$O:$O,"")&amp;""</f>
        <v>Federal</v>
      </c>
      <c r="F21" s="134" t="str">
        <f>_xlfn.XLOOKUP($C21,'Rates_PIN_Prj#_TX# input'!$N:$N,'Rates_PIN_Prj#_TX# input'!$P:$P,"")&amp;""</f>
        <v>TX00250627</v>
      </c>
      <c r="G21" s="203">
        <v>1</v>
      </c>
      <c r="H21" s="190">
        <f>_xlfn.XLOOKUP(A21,'Rates_PIN_Prj#_TX# input'!$A$7:$A$14,'Rates_PIN_Prj#_TX# input'!$B$7:$B$14,'Total Labor Summary'!H21)</f>
        <v>30</v>
      </c>
      <c r="I21" s="190">
        <f t="shared" si="0"/>
        <v>30</v>
      </c>
      <c r="J21" s="99"/>
    </row>
    <row r="22" spans="1:10" x14ac:dyDescent="0.2">
      <c r="A22" s="184" t="s">
        <v>191</v>
      </c>
      <c r="B22" s="229" t="str">
        <f>_xlfn.XLOOKUP($C22,'Rates_PIN_Prj#_TX# input'!$N:$N,'Rates_PIN_Prj#_TX# input'!$M:$M,"")&amp;""</f>
        <v>127530.00</v>
      </c>
      <c r="C22" s="183" t="s">
        <v>198</v>
      </c>
      <c r="D22" s="134" t="str">
        <f>_xlfn.XLOOKUP($C22,'Rates_PIN_Prj#_TX# input'!$N:$N,'Rates_PIN_Prj#_TX# input'!$Q:$Q,"")&amp;""</f>
        <v/>
      </c>
      <c r="E22" s="134" t="str">
        <f>_xlfn.XLOOKUP($C22,'Rates_PIN_Prj#_TX# input'!$N:$N,'Rates_PIN_Prj#_TX# input'!$O:$O,"")&amp;""</f>
        <v>Federal</v>
      </c>
      <c r="F22" s="134" t="str">
        <f>_xlfn.XLOOKUP($C22,'Rates_PIN_Prj#_TX# input'!$N:$N,'Rates_PIN_Prj#_TX# input'!$P:$P,"")&amp;""</f>
        <v>TX00311664</v>
      </c>
      <c r="G22" s="203">
        <v>0.5</v>
      </c>
      <c r="H22" s="190">
        <f>_xlfn.XLOOKUP(A22,'Rates_PIN_Prj#_TX# input'!$A$7:$A$14,'Rates_PIN_Prj#_TX# input'!$B$7:$B$14,'Total Labor Summary'!H22)</f>
        <v>30</v>
      </c>
      <c r="I22" s="190">
        <f t="shared" si="0"/>
        <v>15</v>
      </c>
      <c r="J22" s="99"/>
    </row>
    <row r="23" spans="1:10" x14ac:dyDescent="0.2">
      <c r="A23" s="184" t="s">
        <v>191</v>
      </c>
      <c r="B23" s="229" t="str">
        <f>_xlfn.XLOOKUP($C23,'Rates_PIN_Prj#_TX# input'!$N:$N,'Rates_PIN_Prj#_TX# input'!$M:$M,"")&amp;""</f>
        <v>101589.01</v>
      </c>
      <c r="C23" s="183" t="s">
        <v>200</v>
      </c>
      <c r="D23" s="134" t="str">
        <f>_xlfn.XLOOKUP($C23,'Rates_PIN_Prj#_TX# input'!$N:$N,'Rates_PIN_Prj#_TX# input'!$Q:$Q,"")&amp;""</f>
        <v/>
      </c>
      <c r="E23" s="134" t="str">
        <f>_xlfn.XLOOKUP($C23,'Rates_PIN_Prj#_TX# input'!$N:$N,'Rates_PIN_Prj#_TX# input'!$O:$O,"")&amp;""</f>
        <v>Federal</v>
      </c>
      <c r="F23" s="134" t="str">
        <f>_xlfn.XLOOKUP($C23,'Rates_PIN_Prj#_TX# input'!$N:$N,'Rates_PIN_Prj#_TX# input'!$P:$P,"")&amp;""</f>
        <v>TX00293264</v>
      </c>
      <c r="G23" s="203">
        <v>0.5</v>
      </c>
      <c r="H23" s="190">
        <f>_xlfn.XLOOKUP(A23,'Rates_PIN_Prj#_TX# input'!$A$7:$A$14,'Rates_PIN_Prj#_TX# input'!$B$7:$B$14,'Total Labor Summary'!H23)</f>
        <v>30</v>
      </c>
      <c r="I23" s="190">
        <f t="shared" si="0"/>
        <v>15</v>
      </c>
      <c r="J23" s="99"/>
    </row>
    <row r="24" spans="1:10" x14ac:dyDescent="0.2">
      <c r="A24" s="184" t="s">
        <v>191</v>
      </c>
      <c r="B24" s="229" t="str">
        <f>_xlfn.XLOOKUP($C24,'Rates_PIN_Prj#_TX# input'!$N:$N,'Rates_PIN_Prj#_TX# input'!$M:$M,"")&amp;""</f>
        <v>110324.01</v>
      </c>
      <c r="C24" s="183" t="s">
        <v>202</v>
      </c>
      <c r="D24" s="134" t="str">
        <f>_xlfn.XLOOKUP($C24,'Rates_PIN_Prj#_TX# input'!$N:$N,'Rates_PIN_Prj#_TX# input'!$Q:$Q,"")&amp;""</f>
        <v/>
      </c>
      <c r="E24" s="134" t="str">
        <f>_xlfn.XLOOKUP($C24,'Rates_PIN_Prj#_TX# input'!$N:$N,'Rates_PIN_Prj#_TX# input'!$O:$O,"")&amp;""</f>
        <v>Federal</v>
      </c>
      <c r="F24" s="134" t="str">
        <f>_xlfn.XLOOKUP($C24,'Rates_PIN_Prj#_TX# input'!$N:$N,'Rates_PIN_Prj#_TX# input'!$P:$P,"")&amp;""</f>
        <v>TX00289136</v>
      </c>
      <c r="G24" s="203">
        <v>1</v>
      </c>
      <c r="H24" s="190">
        <f>_xlfn.XLOOKUP(A24,'Rates_PIN_Prj#_TX# input'!$A$7:$A$14,'Rates_PIN_Prj#_TX# input'!$B$7:$B$14,'Total Labor Summary'!H24)</f>
        <v>30</v>
      </c>
      <c r="I24" s="190">
        <f t="shared" si="0"/>
        <v>30</v>
      </c>
      <c r="J24" s="99"/>
    </row>
    <row r="25" spans="1:10" x14ac:dyDescent="0.2">
      <c r="A25" s="184" t="s">
        <v>191</v>
      </c>
      <c r="B25" s="229" t="str">
        <f>_xlfn.XLOOKUP($C25,'Rates_PIN_Prj#_TX# input'!$N:$N,'Rates_PIN_Prj#_TX# input'!$M:$M,"")&amp;""</f>
        <v>124053.00</v>
      </c>
      <c r="C25" s="183" t="s">
        <v>204</v>
      </c>
      <c r="D25" s="134" t="str">
        <f>_xlfn.XLOOKUP($C25,'Rates_PIN_Prj#_TX# input'!$N:$N,'Rates_PIN_Prj#_TX# input'!$Q:$Q,"")&amp;""</f>
        <v/>
      </c>
      <c r="E25" s="134" t="str">
        <f>_xlfn.XLOOKUP($C25,'Rates_PIN_Prj#_TX# input'!$N:$N,'Rates_PIN_Prj#_TX# input'!$O:$O,"")&amp;""</f>
        <v>Federal</v>
      </c>
      <c r="F25" s="134" t="str">
        <f>_xlfn.XLOOKUP($C25,'Rates_PIN_Prj#_TX# input'!$N:$N,'Rates_PIN_Prj#_TX# input'!$P:$P,"")&amp;""</f>
        <v>TX00301639</v>
      </c>
      <c r="G25" s="203">
        <v>0.5</v>
      </c>
      <c r="H25" s="190">
        <f>_xlfn.XLOOKUP(A25,'Rates_PIN_Prj#_TX# input'!$A$7:$A$14,'Rates_PIN_Prj#_TX# input'!$B$7:$B$14,'Total Labor Summary'!H25)</f>
        <v>30</v>
      </c>
      <c r="I25" s="190">
        <f t="shared" si="0"/>
        <v>15</v>
      </c>
      <c r="J25" s="99"/>
    </row>
    <row r="26" spans="1:10" x14ac:dyDescent="0.2">
      <c r="A26" s="181" t="s">
        <v>175</v>
      </c>
      <c r="B26" s="229" t="str">
        <f>_xlfn.XLOOKUP($C26,'Rates_PIN_Prj#_TX# input'!$N:$N,'Rates_PIN_Prj#_TX# input'!$M:$M,"")&amp;""</f>
        <v>124161.00</v>
      </c>
      <c r="C26" s="183" t="s">
        <v>113</v>
      </c>
      <c r="D26" s="134" t="str">
        <f>_xlfn.XLOOKUP($C26,'Rates_PIN_Prj#_TX# input'!$N:$N,'Rates_PIN_Prj#_TX# input'!$Q:$Q,"")&amp;""</f>
        <v/>
      </c>
      <c r="E26" s="134" t="str">
        <f>_xlfn.XLOOKUP($C26,'Rates_PIN_Prj#_TX# input'!$N:$N,'Rates_PIN_Prj#_TX# input'!$O:$O,"")&amp;""</f>
        <v>State</v>
      </c>
      <c r="F26" s="134" t="str">
        <f>_xlfn.XLOOKUP($C26,'Rates_PIN_Prj#_TX# input'!$N:$N,'Rates_PIN_Prj#_TX# input'!$P:$P,"")&amp;""</f>
        <v>TX00249017</v>
      </c>
      <c r="G26" s="202">
        <v>0.5</v>
      </c>
      <c r="H26" s="190">
        <f>_xlfn.XLOOKUP(A26,'Rates_PIN_Prj#_TX# input'!$A$7:$A$14,'Rates_PIN_Prj#_TX# input'!$B$7:$B$14,'Total Labor Summary'!H26)</f>
        <v>78</v>
      </c>
      <c r="I26" s="190">
        <f t="shared" si="0"/>
        <v>39</v>
      </c>
      <c r="J26" s="99"/>
    </row>
    <row r="27" spans="1:10" x14ac:dyDescent="0.2">
      <c r="A27" s="181" t="s">
        <v>175</v>
      </c>
      <c r="B27" s="229" t="str">
        <f>_xlfn.XLOOKUP($C27,'Rates_PIN_Prj#_TX# input'!$N:$N,'Rates_PIN_Prj#_TX# input'!$M:$M,"")&amp;""</f>
        <v>121539.00</v>
      </c>
      <c r="C27" s="183" t="s">
        <v>115</v>
      </c>
      <c r="D27" s="134" t="str">
        <f>_xlfn.XLOOKUP($C27,'Rates_PIN_Prj#_TX# input'!$N:$N,'Rates_PIN_Prj#_TX# input'!$Q:$Q,"")&amp;""</f>
        <v/>
      </c>
      <c r="E27" s="134" t="str">
        <f>_xlfn.XLOOKUP($C27,'Rates_PIN_Prj#_TX# input'!$N:$N,'Rates_PIN_Prj#_TX# input'!$O:$O,"")&amp;""</f>
        <v>State</v>
      </c>
      <c r="F27" s="134" t="str">
        <f>_xlfn.XLOOKUP($C27,'Rates_PIN_Prj#_TX# input'!$N:$N,'Rates_PIN_Prj#_TX# input'!$P:$P,"")&amp;""</f>
        <v>TX00261116</v>
      </c>
      <c r="G27" s="202">
        <v>1.5</v>
      </c>
      <c r="H27" s="190">
        <f>_xlfn.XLOOKUP(A27,'Rates_PIN_Prj#_TX# input'!$A$7:$A$14,'Rates_PIN_Prj#_TX# input'!$B$7:$B$14,'Total Labor Summary'!H27)</f>
        <v>78</v>
      </c>
      <c r="I27" s="190">
        <f t="shared" si="0"/>
        <v>117</v>
      </c>
      <c r="J27" s="99"/>
    </row>
    <row r="28" spans="1:10" x14ac:dyDescent="0.2">
      <c r="A28" s="181" t="s">
        <v>177</v>
      </c>
      <c r="B28" s="229" t="str">
        <f>_xlfn.XLOOKUP($C28,'Rates_PIN_Prj#_TX# input'!$N:$N,'Rates_PIN_Prj#_TX# input'!$M:$M,"")&amp;""</f>
        <v>107298.03</v>
      </c>
      <c r="C28" s="183" t="s">
        <v>154</v>
      </c>
      <c r="D28" s="134" t="str">
        <f>_xlfn.XLOOKUP($C28,'Rates_PIN_Prj#_TX# input'!$N:$N,'Rates_PIN_Prj#_TX# input'!$Q:$Q,"")&amp;""</f>
        <v/>
      </c>
      <c r="E28" s="134" t="str">
        <f>_xlfn.XLOOKUP($C28,'Rates_PIN_Prj#_TX# input'!$N:$N,'Rates_PIN_Prj#_TX# input'!$O:$O,"")&amp;""</f>
        <v>State</v>
      </c>
      <c r="F28" s="134" t="str">
        <f>_xlfn.XLOOKUP($C28,'Rates_PIN_Prj#_TX# input'!$N:$N,'Rates_PIN_Prj#_TX# input'!$P:$P,"")&amp;""</f>
        <v>TX00321808</v>
      </c>
      <c r="G28" s="202">
        <v>0.5</v>
      </c>
      <c r="H28" s="190">
        <f>_xlfn.XLOOKUP(A28,'Rates_PIN_Prj#_TX# input'!$A$7:$A$14,'Rates_PIN_Prj#_TX# input'!$B$7:$B$14,'Total Labor Summary'!H28)</f>
        <v>36</v>
      </c>
      <c r="I28" s="190">
        <f t="shared" si="0"/>
        <v>18</v>
      </c>
      <c r="J28" s="99"/>
    </row>
    <row r="29" spans="1:10" x14ac:dyDescent="0.2">
      <c r="A29" s="181" t="s">
        <v>177</v>
      </c>
      <c r="B29" s="229" t="str">
        <f>_xlfn.XLOOKUP($C29,'Rates_PIN_Prj#_TX# input'!$N:$N,'Rates_PIN_Prj#_TX# input'!$M:$M,"")&amp;""</f>
        <v>124519.00</v>
      </c>
      <c r="C29" s="183" t="s">
        <v>160</v>
      </c>
      <c r="D29" s="134" t="str">
        <f>_xlfn.XLOOKUP($C29,'Rates_PIN_Prj#_TX# input'!$N:$N,'Rates_PIN_Prj#_TX# input'!$Q:$Q,"")&amp;""</f>
        <v/>
      </c>
      <c r="E29" s="134" t="str">
        <f>_xlfn.XLOOKUP($C29,'Rates_PIN_Prj#_TX# input'!$N:$N,'Rates_PIN_Prj#_TX# input'!$O:$O,"")&amp;""</f>
        <v>State</v>
      </c>
      <c r="F29" s="134" t="str">
        <f>_xlfn.XLOOKUP($C29,'Rates_PIN_Prj#_TX# input'!$N:$N,'Rates_PIN_Prj#_TX# input'!$P:$P,"")&amp;""</f>
        <v>TX00249029</v>
      </c>
      <c r="G29" s="203">
        <v>1.5</v>
      </c>
      <c r="H29" s="190">
        <f>_xlfn.XLOOKUP(A29,'Rates_PIN_Prj#_TX# input'!$A$7:$A$14,'Rates_PIN_Prj#_TX# input'!$B$7:$B$14,'Total Labor Summary'!H29)</f>
        <v>36</v>
      </c>
      <c r="I29" s="190">
        <f t="shared" si="0"/>
        <v>54</v>
      </c>
      <c r="J29" s="99"/>
    </row>
    <row r="30" spans="1:10" x14ac:dyDescent="0.2">
      <c r="A30" s="181" t="s">
        <v>177</v>
      </c>
      <c r="B30" s="229" t="str">
        <f>_xlfn.XLOOKUP($C30,'Rates_PIN_Prj#_TX# input'!$N:$N,'Rates_PIN_Prj#_TX# input'!$M:$M,"")&amp;""</f>
        <v>124692.00</v>
      </c>
      <c r="C30" s="183" t="s">
        <v>162</v>
      </c>
      <c r="D30" s="134" t="str">
        <f>_xlfn.XLOOKUP($C30,'Rates_PIN_Prj#_TX# input'!$N:$N,'Rates_PIN_Prj#_TX# input'!$Q:$Q,"")&amp;""</f>
        <v/>
      </c>
      <c r="E30" s="134" t="str">
        <f>_xlfn.XLOOKUP($C30,'Rates_PIN_Prj#_TX# input'!$N:$N,'Rates_PIN_Prj#_TX# input'!$O:$O,"")&amp;""</f>
        <v>State</v>
      </c>
      <c r="F30" s="134" t="str">
        <f>_xlfn.XLOOKUP($C30,'Rates_PIN_Prj#_TX# input'!$N:$N,'Rates_PIN_Prj#_TX# input'!$P:$P,"")&amp;""</f>
        <v>TX00284126</v>
      </c>
      <c r="G30" s="203">
        <v>0.5</v>
      </c>
      <c r="H30" s="190">
        <f>_xlfn.XLOOKUP(A30,'Rates_PIN_Prj#_TX# input'!$A$7:$A$14,'Rates_PIN_Prj#_TX# input'!$B$7:$B$14,'Total Labor Summary'!H30)</f>
        <v>36</v>
      </c>
      <c r="I30" s="190">
        <f t="shared" si="0"/>
        <v>18</v>
      </c>
      <c r="J30" s="99"/>
    </row>
    <row r="31" spans="1:10" ht="15.75" thickBot="1" x14ac:dyDescent="0.25">
      <c r="A31" s="185"/>
      <c r="B31" s="230"/>
      <c r="C31" s="186"/>
      <c r="D31" s="100"/>
      <c r="E31" s="206" t="str">
        <f>IFERROR(VLOOKUP(C31,'Rates_PIN_Prj#_TX# input'!$N$18:$P$50,2,FALSE),"")</f>
        <v/>
      </c>
      <c r="F31" s="206" t="str">
        <f>IFERROR(VLOOKUP(C31,'Rates_PIN_Prj#_TX# input'!$N$18:$P$50,3,FALSE),"")</f>
        <v/>
      </c>
      <c r="G31" s="204"/>
      <c r="H31" s="192"/>
      <c r="I31" s="190">
        <f t="shared" ref="I31" si="1">ROUND(G31*H31,2)</f>
        <v>0</v>
      </c>
      <c r="J31" s="101"/>
    </row>
    <row r="32" spans="1:10" ht="16.5" thickBot="1" x14ac:dyDescent="0.3">
      <c r="G32" s="205">
        <f>SUM(G2:G31)</f>
        <v>67.5</v>
      </c>
      <c r="H32" s="193"/>
      <c r="I32" s="194">
        <f>ROUND(SUM(I2:I31),2)</f>
        <v>2686</v>
      </c>
      <c r="J32" s="102" t="s">
        <v>78</v>
      </c>
    </row>
    <row r="33" spans="1:9" ht="18" x14ac:dyDescent="0.25">
      <c r="A33" s="129" t="s">
        <v>69</v>
      </c>
      <c r="B33" s="129"/>
      <c r="C33" s="129"/>
      <c r="D33" s="129"/>
      <c r="E33" s="129"/>
      <c r="F33" s="129"/>
      <c r="I33" s="98"/>
    </row>
  </sheetData>
  <autoFilter ref="A1:J33" xr:uid="{B6BB02FB-AB23-41C6-B581-031EC7D46B57}"/>
  <sortState xmlns:xlrd2="http://schemas.microsoft.com/office/spreadsheetml/2017/richdata2" ref="A2:J30">
    <sortCondition ref="E2:E30"/>
  </sortState>
  <printOptions horizontalCentered="1"/>
  <pageMargins left="0.2" right="0.2" top="0.75" bottom="0.75" header="0.3" footer="0.3"/>
  <pageSetup scale="76" orientation="landscape" verticalDpi="1200" r:id="rId1"/>
  <headerFooter>
    <oddHeader>&amp;C&amp;"-,Bold"&amp;18Direct Labor Summary</oddHeader>
    <oddFooter xml:space="preserve">&amp;C&amp;A
&amp;RVersion Created 02/15/2024  </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3AB47C-4F82-4C0A-B105-5B2E77564E4A}">
  <dimension ref="A1:S36"/>
  <sheetViews>
    <sheetView topLeftCell="A6" zoomScale="90" zoomScaleNormal="90" zoomScaleSheetLayoutView="90" workbookViewId="0">
      <selection activeCell="P11" sqref="P11"/>
    </sheetView>
  </sheetViews>
  <sheetFormatPr defaultColWidth="9.140625" defaultRowHeight="15" x14ac:dyDescent="0.2"/>
  <cols>
    <col min="1" max="1" width="14" style="110" customWidth="1"/>
    <col min="2" max="2" width="19.7109375" style="110" customWidth="1"/>
    <col min="3" max="3" width="15.42578125" style="110" customWidth="1"/>
    <col min="4" max="4" width="12.140625" style="110" customWidth="1"/>
    <col min="5" max="5" width="15.5703125" style="110" customWidth="1"/>
    <col min="6" max="6" width="13.28515625" style="110" customWidth="1"/>
    <col min="7" max="7" width="12.28515625" style="110" customWidth="1"/>
    <col min="8" max="8" width="14.7109375" style="110" customWidth="1"/>
    <col min="9" max="10" width="11.85546875" style="110" customWidth="1"/>
    <col min="11" max="11" width="15.7109375" style="110" customWidth="1"/>
    <col min="12" max="12" width="13.5703125" style="110" customWidth="1"/>
    <col min="13" max="13" width="45.85546875" style="110" customWidth="1"/>
    <col min="14" max="14" width="40.7109375" style="110" customWidth="1"/>
    <col min="15" max="18" width="9.140625" style="110"/>
    <col min="19" max="19" width="0" style="110" hidden="1" customWidth="1"/>
    <col min="20" max="16384" width="9.140625" style="110"/>
  </cols>
  <sheetData>
    <row r="1" spans="1:19" ht="68.25" customHeight="1" x14ac:dyDescent="0.2">
      <c r="A1" s="103" t="s">
        <v>71</v>
      </c>
      <c r="B1" s="104" t="s">
        <v>72</v>
      </c>
      <c r="C1" s="105" t="s">
        <v>73</v>
      </c>
      <c r="D1" s="107" t="s">
        <v>74</v>
      </c>
      <c r="E1" s="106" t="s">
        <v>75</v>
      </c>
      <c r="F1" s="107" t="s">
        <v>81</v>
      </c>
      <c r="G1" s="108" t="s">
        <v>82</v>
      </c>
      <c r="H1" s="108" t="s">
        <v>80</v>
      </c>
      <c r="I1" s="108" t="s">
        <v>83</v>
      </c>
      <c r="J1" s="108" t="s">
        <v>218</v>
      </c>
      <c r="K1" s="108" t="s">
        <v>219</v>
      </c>
      <c r="L1" s="108" t="s">
        <v>78</v>
      </c>
      <c r="M1" s="109" t="s">
        <v>79</v>
      </c>
      <c r="N1" s="234" t="s">
        <v>231</v>
      </c>
      <c r="S1" s="111" t="s">
        <v>49</v>
      </c>
    </row>
    <row r="2" spans="1:19" s="179" customFormat="1" x14ac:dyDescent="0.2">
      <c r="A2" s="221" t="str">
        <f>_xlfn.XLOOKUP($E2,'Rates_PIN_Prj#_TX# input'!$P:$P,'Rates_PIN_Prj#_TX# input'!$M:$M,"")&amp;""</f>
        <v>106982.00</v>
      </c>
      <c r="B2" s="221" t="str">
        <f>_xlfn.XLOOKUP($E2,'Rates_PIN_Prj#_TX# input'!$P:$P,'Rates_PIN_Prj#_TX# input'!$N:$N,"")&amp;""</f>
        <v>75013-1242-54</v>
      </c>
      <c r="C2" s="221" t="str">
        <f>_xlfn.XLOOKUP($E2,'Rates_PIN_Prj#_TX# input'!$P:$P,'Rates_PIN_Prj#_TX# input'!$Q:$Q,"")&amp;""</f>
        <v/>
      </c>
      <c r="D2" s="221" t="str">
        <f>_xlfn.XLOOKUP($E2,'Rates_PIN_Prj#_TX# input'!$P:$P,'Rates_PIN_Prj#_TX# input'!$O:$O,"")&amp;""</f>
        <v>Federal</v>
      </c>
      <c r="E2" s="231" t="s">
        <v>152</v>
      </c>
      <c r="F2" s="232">
        <v>112</v>
      </c>
      <c r="G2" s="189">
        <f>F2/F26</f>
        <v>4.169769173492182E-2</v>
      </c>
      <c r="H2" s="195">
        <f>IF(D2="Federal",'Rates_PIN_Prj#_TX# input'!$C$6,'Rates_PIN_Prj#_TX# input'!$H$6)*F2</f>
        <v>213.38239999999999</v>
      </c>
      <c r="I2" s="195">
        <f>ROUND((F2+H2)*'Rates_PIN_Prj#_TX# input'!$D$6,2)</f>
        <v>37.42</v>
      </c>
      <c r="J2" s="195"/>
      <c r="K2" s="195"/>
      <c r="L2" s="195">
        <f>ROUND(F2+H2+I2+J2+K2,3)</f>
        <v>362.80200000000002</v>
      </c>
      <c r="M2" s="112"/>
      <c r="S2" s="180" t="s">
        <v>50</v>
      </c>
    </row>
    <row r="3" spans="1:19" s="179" customFormat="1" x14ac:dyDescent="0.2">
      <c r="A3" s="221" t="str">
        <f>_xlfn.XLOOKUP($E3,'Rates_PIN_Prj#_TX# input'!$P:$P,'Rates_PIN_Prj#_TX# input'!$M:$M,"")&amp;""</f>
        <v>112834.03</v>
      </c>
      <c r="B3" s="221" t="str">
        <f>_xlfn.XLOOKUP($E3,'Rates_PIN_Prj#_TX# input'!$P:$P,'Rates_PIN_Prj#_TX# input'!$N:$N,"")&amp;""</f>
        <v>82010-1236-14</v>
      </c>
      <c r="C3" s="221" t="str">
        <f>_xlfn.XLOOKUP($E3,'Rates_PIN_Prj#_TX# input'!$P:$P,'Rates_PIN_Prj#_TX# input'!$Q:$Q,"")&amp;""</f>
        <v/>
      </c>
      <c r="D3" s="221" t="str">
        <f>_xlfn.XLOOKUP($E3,'Rates_PIN_Prj#_TX# input'!$P:$P,'Rates_PIN_Prj#_TX# input'!$O:$O,"")&amp;""</f>
        <v>Federal</v>
      </c>
      <c r="E3" s="231" t="s">
        <v>151</v>
      </c>
      <c r="F3" s="232">
        <v>56</v>
      </c>
      <c r="G3" s="189">
        <f>F3/F26</f>
        <v>2.084884586746091E-2</v>
      </c>
      <c r="H3" s="195">
        <f>IF(D3="Federal",'Rates_PIN_Prj#_TX# input'!$C$6,'Rates_PIN_Prj#_TX# input'!$H$6)*F3</f>
        <v>106.69119999999999</v>
      </c>
      <c r="I3" s="195">
        <f>ROUND((F3+H3)*'Rates_PIN_Prj#_TX# input'!$D$6,2)</f>
        <v>18.71</v>
      </c>
      <c r="J3" s="195"/>
      <c r="K3" s="195"/>
      <c r="L3" s="195">
        <f t="shared" ref="L3:L25" si="0">ROUND(F3+H3+I3+J3+K3,3)</f>
        <v>181.40100000000001</v>
      </c>
      <c r="M3" s="112"/>
    </row>
    <row r="4" spans="1:19" s="179" customFormat="1" x14ac:dyDescent="0.2">
      <c r="A4" s="221" t="str">
        <f>_xlfn.XLOOKUP($E4,'Rates_PIN_Prj#_TX# input'!$P:$P,'Rates_PIN_Prj#_TX# input'!$M:$M,"")&amp;""</f>
        <v>124154.00</v>
      </c>
      <c r="B4" s="221" t="str">
        <f>_xlfn.XLOOKUP($E4,'Rates_PIN_Prj#_TX# input'!$P:$P,'Rates_PIN_Prj#_TX# input'!$N:$N,"")&amp;""</f>
        <v>12007-0220-94</v>
      </c>
      <c r="C4" s="221" t="str">
        <f>_xlfn.XLOOKUP($E4,'Rates_PIN_Prj#_TX# input'!$P:$P,'Rates_PIN_Prj#_TX# input'!$Q:$Q,"")&amp;""</f>
        <v/>
      </c>
      <c r="D4" s="221" t="str">
        <f>_xlfn.XLOOKUP($E4,'Rates_PIN_Prj#_TX# input'!$P:$P,'Rates_PIN_Prj#_TX# input'!$O:$O,"")&amp;""</f>
        <v>Federal</v>
      </c>
      <c r="E4" s="231" t="s">
        <v>206</v>
      </c>
      <c r="F4" s="232">
        <v>30</v>
      </c>
      <c r="G4" s="189">
        <f>F4/F26</f>
        <v>1.1169024571854059E-2</v>
      </c>
      <c r="H4" s="195">
        <f>IF(D4="Federal",'Rates_PIN_Prj#_TX# input'!$C$6,'Rates_PIN_Prj#_TX# input'!$H$6)*F4</f>
        <v>57.155999999999999</v>
      </c>
      <c r="I4" s="195">
        <f>ROUND((F4+H4)*'Rates_PIN_Prj#_TX# input'!$D$6,2)</f>
        <v>10.02</v>
      </c>
      <c r="J4" s="195"/>
      <c r="K4" s="195"/>
      <c r="L4" s="195">
        <f t="shared" si="0"/>
        <v>97.176000000000002</v>
      </c>
      <c r="M4" s="112"/>
    </row>
    <row r="5" spans="1:19" s="179" customFormat="1" x14ac:dyDescent="0.2">
      <c r="A5" s="221" t="str">
        <f>_xlfn.XLOOKUP($E5,'Rates_PIN_Prj#_TX# input'!$P:$P,'Rates_PIN_Prj#_TX# input'!$M:$M,"")&amp;""</f>
        <v>100326.02</v>
      </c>
      <c r="B5" s="221" t="str">
        <f>_xlfn.XLOOKUP($E5,'Rates_PIN_Prj#_TX# input'!$P:$P,'Rates_PIN_Prj#_TX# input'!$N:$N,"")&amp;""</f>
        <v>09009-1235-14</v>
      </c>
      <c r="C5" s="221" t="str">
        <f>_xlfn.XLOOKUP($E5,'Rates_PIN_Prj#_TX# input'!$P:$P,'Rates_PIN_Prj#_TX# input'!$Q:$Q,"")&amp;""</f>
        <v/>
      </c>
      <c r="D5" s="221" t="str">
        <f>_xlfn.XLOOKUP($E5,'Rates_PIN_Prj#_TX# input'!$P:$P,'Rates_PIN_Prj#_TX# input'!$O:$O,"")&amp;""</f>
        <v>Federal</v>
      </c>
      <c r="E5" s="231" t="s">
        <v>150</v>
      </c>
      <c r="F5" s="232">
        <v>238</v>
      </c>
      <c r="G5" s="189">
        <f>F5/F26</f>
        <v>8.8607594936708861E-2</v>
      </c>
      <c r="H5" s="195">
        <f>IF(D5="Federal",'Rates_PIN_Prj#_TX# input'!$C$6,'Rates_PIN_Prj#_TX# input'!$H$6)*F5</f>
        <v>453.43759999999997</v>
      </c>
      <c r="I5" s="195">
        <f>ROUND((F5+H5)*'Rates_PIN_Prj#_TX# input'!$D$6,2)</f>
        <v>79.52</v>
      </c>
      <c r="J5" s="195"/>
      <c r="K5" s="195"/>
      <c r="L5" s="195">
        <f t="shared" si="0"/>
        <v>770.95799999999997</v>
      </c>
      <c r="M5" s="112"/>
    </row>
    <row r="6" spans="1:19" s="179" customFormat="1" x14ac:dyDescent="0.2">
      <c r="A6" s="221" t="str">
        <f>_xlfn.XLOOKUP($E6,'Rates_PIN_Prj#_TX# input'!$P:$P,'Rates_PIN_Prj#_TX# input'!$M:$M,"")&amp;""</f>
        <v>124677.00</v>
      </c>
      <c r="B6" s="221" t="str">
        <f>_xlfn.XLOOKUP($E6,'Rates_PIN_Prj#_TX# input'!$P:$P,'Rates_PIN_Prj#_TX# input'!$N:$N,"")&amp;""</f>
        <v>06946-0435-94</v>
      </c>
      <c r="C6" s="221" t="str">
        <f>_xlfn.XLOOKUP($E6,'Rates_PIN_Prj#_TX# input'!$P:$P,'Rates_PIN_Prj#_TX# input'!$Q:$Q,"")&amp;""</f>
        <v/>
      </c>
      <c r="D6" s="221" t="str">
        <f>_xlfn.XLOOKUP($E6,'Rates_PIN_Prj#_TX# input'!$P:$P,'Rates_PIN_Prj#_TX# input'!$O:$O,"")&amp;""</f>
        <v>Federal</v>
      </c>
      <c r="E6" s="231" t="s">
        <v>131</v>
      </c>
      <c r="F6" s="232">
        <v>570</v>
      </c>
      <c r="G6" s="189">
        <f>F6/F26</f>
        <v>0.2122114668652271</v>
      </c>
      <c r="H6" s="195">
        <f>IF(D6="Federal",'Rates_PIN_Prj#_TX# input'!$C$6,'Rates_PIN_Prj#_TX# input'!$H$6)*F6</f>
        <v>1085.9639999999999</v>
      </c>
      <c r="I6" s="195">
        <f>ROUND((F6+H6)*'Rates_PIN_Prj#_TX# input'!$D$6,2)</f>
        <v>190.44</v>
      </c>
      <c r="J6" s="195"/>
      <c r="K6" s="195"/>
      <c r="L6" s="195">
        <f t="shared" si="0"/>
        <v>1846.404</v>
      </c>
      <c r="M6" s="112"/>
    </row>
    <row r="7" spans="1:19" s="179" customFormat="1" x14ac:dyDescent="0.2">
      <c r="A7" s="221" t="str">
        <f>_xlfn.XLOOKUP($E7,'Rates_PIN_Prj#_TX# input'!$P:$P,'Rates_PIN_Prj#_TX# input'!$M:$M,"")&amp;""</f>
        <v>101886.02</v>
      </c>
      <c r="B7" s="221" t="str">
        <f>_xlfn.XLOOKUP($E7,'Rates_PIN_Prj#_TX# input'!$P:$P,'Rates_PIN_Prj#_TX# input'!$N:$N,"")&amp;""</f>
        <v>40003-0222-14</v>
      </c>
      <c r="C7" s="221" t="str">
        <f>_xlfn.XLOOKUP($E7,'Rates_PIN_Prj#_TX# input'!$P:$P,'Rates_PIN_Prj#_TX# input'!$Q:$Q,"")&amp;""</f>
        <v/>
      </c>
      <c r="D7" s="221" t="str">
        <f>_xlfn.XLOOKUP($E7,'Rates_PIN_Prj#_TX# input'!$P:$P,'Rates_PIN_Prj#_TX# input'!$O:$O,"")&amp;""</f>
        <v>Federal</v>
      </c>
      <c r="E7" s="231" t="s">
        <v>167</v>
      </c>
      <c r="F7" s="232">
        <v>54</v>
      </c>
      <c r="G7" s="189">
        <f>F7/F26</f>
        <v>2.0104244229337303E-2</v>
      </c>
      <c r="H7" s="195">
        <f>IF(D7="Federal",'Rates_PIN_Prj#_TX# input'!$C$6,'Rates_PIN_Prj#_TX# input'!$H$6)*F7</f>
        <v>102.88079999999999</v>
      </c>
      <c r="I7" s="195">
        <f>ROUND((F7+H7)*'Rates_PIN_Prj#_TX# input'!$D$6,2)</f>
        <v>18.04</v>
      </c>
      <c r="J7" s="195"/>
      <c r="K7" s="195"/>
      <c r="L7" s="195">
        <f t="shared" si="0"/>
        <v>174.92099999999999</v>
      </c>
      <c r="M7" s="112"/>
    </row>
    <row r="8" spans="1:19" s="179" customFormat="1" x14ac:dyDescent="0.2">
      <c r="A8" s="221" t="str">
        <f>_xlfn.XLOOKUP($E8,'Rates_PIN_Prj#_TX# input'!$P:$P,'Rates_PIN_Prj#_TX# input'!$M:$M,"")&amp;""</f>
        <v>110324.01</v>
      </c>
      <c r="B8" s="221" t="str">
        <f>_xlfn.XLOOKUP($E8,'Rates_PIN_Prj#_TX# input'!$P:$P,'Rates_PIN_Prj#_TX# input'!$N:$N,"")&amp;""</f>
        <v>16945-0681-94</v>
      </c>
      <c r="C8" s="221" t="str">
        <f>_xlfn.XLOOKUP($E8,'Rates_PIN_Prj#_TX# input'!$P:$P,'Rates_PIN_Prj#_TX# input'!$Q:$Q,"")&amp;""</f>
        <v/>
      </c>
      <c r="D8" s="221" t="str">
        <f>_xlfn.XLOOKUP($E8,'Rates_PIN_Prj#_TX# input'!$P:$P,'Rates_PIN_Prj#_TX# input'!$O:$O,"")&amp;""</f>
        <v>Federal</v>
      </c>
      <c r="E8" s="231" t="s">
        <v>209</v>
      </c>
      <c r="F8" s="232">
        <v>30</v>
      </c>
      <c r="G8" s="189">
        <f>F8/F26</f>
        <v>1.1169024571854059E-2</v>
      </c>
      <c r="H8" s="195">
        <f>IF(D8="Federal",'Rates_PIN_Prj#_TX# input'!$C$6,'Rates_PIN_Prj#_TX# input'!$H$6)*F8</f>
        <v>57.155999999999999</v>
      </c>
      <c r="I8" s="195">
        <f>ROUND((F8+H8)*'Rates_PIN_Prj#_TX# input'!$D$6,2)</f>
        <v>10.02</v>
      </c>
      <c r="J8" s="195"/>
      <c r="K8" s="195"/>
      <c r="L8" s="195">
        <f t="shared" si="0"/>
        <v>97.176000000000002</v>
      </c>
      <c r="M8" s="112"/>
    </row>
    <row r="9" spans="1:19" s="179" customFormat="1" x14ac:dyDescent="0.2">
      <c r="A9" s="221" t="str">
        <f>_xlfn.XLOOKUP($E9,'Rates_PIN_Prj#_TX# input'!$P:$P,'Rates_PIN_Prj#_TX# input'!$M:$M,"")&amp;""</f>
        <v>124128.00</v>
      </c>
      <c r="B9" s="221" t="str">
        <f>_xlfn.XLOOKUP($E9,'Rates_PIN_Prj#_TX# input'!$P:$P,'Rates_PIN_Prj#_TX# input'!$N:$N,"")&amp;""</f>
        <v>01003-0246-94</v>
      </c>
      <c r="C9" s="221" t="str">
        <f>_xlfn.XLOOKUP($E9,'Rates_PIN_Prj#_TX# input'!$P:$P,'Rates_PIN_Prj#_TX# input'!$Q:$Q,"")&amp;""</f>
        <v/>
      </c>
      <c r="D9" s="221" t="str">
        <f>_xlfn.XLOOKUP($E9,'Rates_PIN_Prj#_TX# input'!$P:$P,'Rates_PIN_Prj#_TX# input'!$O:$O,"")&amp;""</f>
        <v>Federal</v>
      </c>
      <c r="E9" s="231" t="s">
        <v>133</v>
      </c>
      <c r="F9" s="232">
        <v>222</v>
      </c>
      <c r="G9" s="189">
        <f>F9/F26</f>
        <v>8.2650781831720033E-2</v>
      </c>
      <c r="H9" s="195">
        <f>IF(D9="Federal",'Rates_PIN_Prj#_TX# input'!$C$6,'Rates_PIN_Prj#_TX# input'!$H$6)*F9</f>
        <v>422.95440000000002</v>
      </c>
      <c r="I9" s="195">
        <f>ROUND((F9+H9)*'Rates_PIN_Prj#_TX# input'!$D$6,2)</f>
        <v>74.17</v>
      </c>
      <c r="J9" s="195"/>
      <c r="K9" s="195"/>
      <c r="L9" s="195">
        <f t="shared" si="0"/>
        <v>719.12400000000002</v>
      </c>
      <c r="M9" s="112"/>
    </row>
    <row r="10" spans="1:19" s="179" customFormat="1" x14ac:dyDescent="0.2">
      <c r="A10" s="221" t="str">
        <f>_xlfn.XLOOKUP($E10,'Rates_PIN_Prj#_TX# input'!$P:$P,'Rates_PIN_Prj#_TX# input'!$M:$M,"")&amp;""</f>
        <v>102380.02</v>
      </c>
      <c r="B10" s="221" t="str">
        <f>_xlfn.XLOOKUP($E10,'Rates_PIN_Prj#_TX# input'!$P:$P,'Rates_PIN_Prj#_TX# input'!$N:$N,"")&amp;""</f>
        <v>62016-1206-14</v>
      </c>
      <c r="C10" s="221" t="str">
        <f>_xlfn.XLOOKUP($E10,'Rates_PIN_Prj#_TX# input'!$P:$P,'Rates_PIN_Prj#_TX# input'!$Q:$Q,"")&amp;""</f>
        <v/>
      </c>
      <c r="D10" s="221" t="str">
        <f>_xlfn.XLOOKUP($E10,'Rates_PIN_Prj#_TX# input'!$P:$P,'Rates_PIN_Prj#_TX# input'!$O:$O,"")&amp;""</f>
        <v>Federal</v>
      </c>
      <c r="E10" s="231" t="s">
        <v>132</v>
      </c>
      <c r="F10" s="232">
        <v>78</v>
      </c>
      <c r="G10" s="189">
        <f>F10/F26</f>
        <v>2.9039463886820552E-2</v>
      </c>
      <c r="H10" s="195">
        <f>IF(D10="Federal",'Rates_PIN_Prj#_TX# input'!$C$6,'Rates_PIN_Prj#_TX# input'!$H$6)*F10</f>
        <v>148.60560000000001</v>
      </c>
      <c r="I10" s="195">
        <f>ROUND((F10+H10)*'Rates_PIN_Prj#_TX# input'!$D$6,2)</f>
        <v>26.06</v>
      </c>
      <c r="J10" s="195"/>
      <c r="K10" s="195"/>
      <c r="L10" s="195">
        <f t="shared" si="0"/>
        <v>252.666</v>
      </c>
      <c r="M10" s="112"/>
    </row>
    <row r="11" spans="1:19" s="179" customFormat="1" x14ac:dyDescent="0.2">
      <c r="A11" s="221" t="str">
        <f>_xlfn.XLOOKUP($E11,'Rates_PIN_Prj#_TX# input'!$P:$P,'Rates_PIN_Prj#_TX# input'!$M:$M,"")&amp;""</f>
        <v>101589.01</v>
      </c>
      <c r="B11" s="221" t="str">
        <f>_xlfn.XLOOKUP($E11,'Rates_PIN_Prj#_TX# input'!$P:$P,'Rates_PIN_Prj#_TX# input'!$N:$N,"")&amp;""</f>
        <v>16009-1232-14</v>
      </c>
      <c r="C11" s="221" t="str">
        <f>_xlfn.XLOOKUP($E11,'Rates_PIN_Prj#_TX# input'!$P:$P,'Rates_PIN_Prj#_TX# input'!$Q:$Q,"")&amp;""</f>
        <v/>
      </c>
      <c r="D11" s="221" t="str">
        <f>_xlfn.XLOOKUP($E11,'Rates_PIN_Prj#_TX# input'!$P:$P,'Rates_PIN_Prj#_TX# input'!$O:$O,"")&amp;""</f>
        <v>Federal</v>
      </c>
      <c r="E11" s="231" t="s">
        <v>208</v>
      </c>
      <c r="F11" s="232">
        <v>15</v>
      </c>
      <c r="G11" s="189">
        <f>F11/F26</f>
        <v>5.5845122859270293E-3</v>
      </c>
      <c r="H11" s="195">
        <f>IF(D11="Federal",'Rates_PIN_Prj#_TX# input'!$C$6,'Rates_PIN_Prj#_TX# input'!$H$6)*F11</f>
        <v>28.577999999999999</v>
      </c>
      <c r="I11" s="195">
        <f>ROUND((F11+H11)*'Rates_PIN_Prj#_TX# input'!$D$6,2)</f>
        <v>5.01</v>
      </c>
      <c r="J11" s="195"/>
      <c r="K11" s="195"/>
      <c r="L11" s="195">
        <f t="shared" si="0"/>
        <v>48.588000000000001</v>
      </c>
      <c r="M11" s="112"/>
    </row>
    <row r="12" spans="1:19" s="179" customFormat="1" x14ac:dyDescent="0.2">
      <c r="A12" s="221" t="str">
        <f>_xlfn.XLOOKUP($E12,'Rates_PIN_Prj#_TX# input'!$P:$P,'Rates_PIN_Prj#_TX# input'!$M:$M,"")&amp;""</f>
        <v>107579.00</v>
      </c>
      <c r="B12" s="221" t="str">
        <f>_xlfn.XLOOKUP($E12,'Rates_PIN_Prj#_TX# input'!$P:$P,'Rates_PIN_Prj#_TX# input'!$N:$N,"")&amp;""</f>
        <v>37005-1237-14</v>
      </c>
      <c r="C12" s="221" t="str">
        <f>_xlfn.XLOOKUP($E12,'Rates_PIN_Prj#_TX# input'!$P:$P,'Rates_PIN_Prj#_TX# input'!$Q:$Q,"")&amp;""</f>
        <v/>
      </c>
      <c r="D12" s="221" t="str">
        <f>_xlfn.XLOOKUP($E12,'Rates_PIN_Prj#_TX# input'!$P:$P,'Rates_PIN_Prj#_TX# input'!$O:$O,"")&amp;""</f>
        <v>Federal</v>
      </c>
      <c r="E12" s="231" t="s">
        <v>134</v>
      </c>
      <c r="F12" s="232">
        <v>346</v>
      </c>
      <c r="G12" s="189">
        <f>F12/F26</f>
        <v>0.12881608339538347</v>
      </c>
      <c r="H12" s="195">
        <f>IF(D12="Federal",'Rates_PIN_Prj#_TX# input'!$C$6,'Rates_PIN_Prj#_TX# input'!$H$6)*F12</f>
        <v>659.19920000000002</v>
      </c>
      <c r="I12" s="195">
        <f>ROUND((F12+H12)*'Rates_PIN_Prj#_TX# input'!$D$6,2)</f>
        <v>115.6</v>
      </c>
      <c r="J12" s="195"/>
      <c r="K12" s="195"/>
      <c r="L12" s="195">
        <f t="shared" si="0"/>
        <v>1120.799</v>
      </c>
      <c r="M12" s="112"/>
    </row>
    <row r="13" spans="1:19" s="179" customFormat="1" x14ac:dyDescent="0.2">
      <c r="A13" s="221" t="str">
        <f>_xlfn.XLOOKUP($E13,'Rates_PIN_Prj#_TX# input'!$P:$P,'Rates_PIN_Prj#_TX# input'!$M:$M,"")&amp;""</f>
        <v>124053.00</v>
      </c>
      <c r="B13" s="221" t="str">
        <f>_xlfn.XLOOKUP($E13,'Rates_PIN_Prj#_TX# input'!$P:$P,'Rates_PIN_Prj#_TX# input'!$N:$N,"")&amp;""</f>
        <v>18004-0227-94</v>
      </c>
      <c r="C13" s="221" t="str">
        <f>_xlfn.XLOOKUP($E13,'Rates_PIN_Prj#_TX# input'!$P:$P,'Rates_PIN_Prj#_TX# input'!$Q:$Q,"")&amp;""</f>
        <v/>
      </c>
      <c r="D13" s="221" t="str">
        <f>_xlfn.XLOOKUP($E13,'Rates_PIN_Prj#_TX# input'!$P:$P,'Rates_PIN_Prj#_TX# input'!$O:$O,"")&amp;""</f>
        <v>Federal</v>
      </c>
      <c r="E13" s="231" t="s">
        <v>210</v>
      </c>
      <c r="F13" s="232">
        <v>15</v>
      </c>
      <c r="G13" s="189">
        <f>F13/F26</f>
        <v>5.5845122859270293E-3</v>
      </c>
      <c r="H13" s="195">
        <f>IF(D13="Federal",'Rates_PIN_Prj#_TX# input'!$C$6,'Rates_PIN_Prj#_TX# input'!$H$6)*F13</f>
        <v>28.577999999999999</v>
      </c>
      <c r="I13" s="195">
        <f>ROUND((F13+H13)*'Rates_PIN_Prj#_TX# input'!$D$6,2)</f>
        <v>5.01</v>
      </c>
      <c r="J13" s="195"/>
      <c r="K13" s="195"/>
      <c r="L13" s="195">
        <f t="shared" si="0"/>
        <v>48.588000000000001</v>
      </c>
      <c r="M13" s="112"/>
    </row>
    <row r="14" spans="1:19" s="179" customFormat="1" x14ac:dyDescent="0.2">
      <c r="A14" s="221" t="str">
        <f>_xlfn.XLOOKUP($E14,'Rates_PIN_Prj#_TX# input'!$P:$P,'Rates_PIN_Prj#_TX# input'!$M:$M,"")&amp;""</f>
        <v>118852.01</v>
      </c>
      <c r="B14" s="221" t="str">
        <f>_xlfn.XLOOKUP($E14,'Rates_PIN_Prj#_TX# input'!$P:$P,'Rates_PIN_Prj#_TX# input'!$N:$N,"")&amp;""</f>
        <v>23011-0240-94</v>
      </c>
      <c r="C14" s="221" t="str">
        <f>_xlfn.XLOOKUP($E14,'Rates_PIN_Prj#_TX# input'!$P:$P,'Rates_PIN_Prj#_TX# input'!$Q:$Q,"")&amp;""</f>
        <v/>
      </c>
      <c r="D14" s="221" t="str">
        <f>_xlfn.XLOOKUP($E14,'Rates_PIN_Prj#_TX# input'!$P:$P,'Rates_PIN_Prj#_TX# input'!$O:$O,"")&amp;""</f>
        <v>Federal</v>
      </c>
      <c r="E14" s="231" t="s">
        <v>165</v>
      </c>
      <c r="F14" s="232">
        <v>18</v>
      </c>
      <c r="G14" s="189">
        <f>F14/F26</f>
        <v>6.7014147431124346E-3</v>
      </c>
      <c r="H14" s="195">
        <f>IF(D14="Federal",'Rates_PIN_Prj#_TX# input'!$C$6,'Rates_PIN_Prj#_TX# input'!$H$6)*F14</f>
        <v>34.293599999999998</v>
      </c>
      <c r="I14" s="195">
        <f>ROUND((F14+H14)*'Rates_PIN_Prj#_TX# input'!$D$6,2)</f>
        <v>6.01</v>
      </c>
      <c r="J14" s="195">
        <v>33.5</v>
      </c>
      <c r="K14" s="195"/>
      <c r="L14" s="195">
        <f t="shared" si="0"/>
        <v>91.804000000000002</v>
      </c>
      <c r="M14" s="112"/>
    </row>
    <row r="15" spans="1:19" s="179" customFormat="1" x14ac:dyDescent="0.2">
      <c r="A15" s="221" t="str">
        <f>_xlfn.XLOOKUP($E15,'Rates_PIN_Prj#_TX# input'!$P:$P,'Rates_PIN_Prj#_TX# input'!$M:$M,"")&amp;""</f>
        <v>115906.00</v>
      </c>
      <c r="B15" s="221" t="str">
        <f>_xlfn.XLOOKUP($E15,'Rates_PIN_Prj#_TX# input'!$P:$P,'Rates_PIN_Prj#_TX# input'!$N:$N,"")&amp;""</f>
        <v>75078-0206-54</v>
      </c>
      <c r="C15" s="221" t="str">
        <f>_xlfn.XLOOKUP($E15,'Rates_PIN_Prj#_TX# input'!$P:$P,'Rates_PIN_Prj#_TX# input'!$Q:$Q,"")&amp;""</f>
        <v/>
      </c>
      <c r="D15" s="221" t="str">
        <f>_xlfn.XLOOKUP($E15,'Rates_PIN_Prj#_TX# input'!$P:$P,'Rates_PIN_Prj#_TX# input'!$O:$O,"")&amp;""</f>
        <v>Federal</v>
      </c>
      <c r="E15" s="231" t="s">
        <v>149</v>
      </c>
      <c r="F15" s="232">
        <v>112</v>
      </c>
      <c r="G15" s="189">
        <f>F15/F26</f>
        <v>4.169769173492182E-2</v>
      </c>
      <c r="H15" s="195">
        <f>IF(D15="Federal",'Rates_PIN_Prj#_TX# input'!$C$6,'Rates_PIN_Prj#_TX# input'!$H$6)*F15</f>
        <v>213.38239999999999</v>
      </c>
      <c r="I15" s="195">
        <f>ROUND((F15+H15)*'Rates_PIN_Prj#_TX# input'!$D$6,2)</f>
        <v>37.42</v>
      </c>
      <c r="J15" s="195"/>
      <c r="K15" s="195"/>
      <c r="L15" s="195">
        <f t="shared" si="0"/>
        <v>362.80200000000002</v>
      </c>
      <c r="M15" s="112"/>
    </row>
    <row r="16" spans="1:19" s="179" customFormat="1" x14ac:dyDescent="0.2">
      <c r="A16" s="221" t="str">
        <f>_xlfn.XLOOKUP($E16,'Rates_PIN_Prj#_TX# input'!$P:$P,'Rates_PIN_Prj#_TX# input'!$M:$M,"")&amp;""</f>
        <v>109542.01</v>
      </c>
      <c r="B16" s="221" t="str">
        <f>_xlfn.XLOOKUP($E16,'Rates_PIN_Prj#_TX# input'!$P:$P,'Rates_PIN_Prj#_TX# input'!$N:$N,"")&amp;""</f>
        <v>11008-1224-14</v>
      </c>
      <c r="C16" s="221" t="str">
        <f>_xlfn.XLOOKUP($E16,'Rates_PIN_Prj#_TX# input'!$P:$P,'Rates_PIN_Prj#_TX# input'!$Q:$Q,"")&amp;""</f>
        <v/>
      </c>
      <c r="D16" s="221" t="str">
        <f>_xlfn.XLOOKUP($E16,'Rates_PIN_Prj#_TX# input'!$P:$P,'Rates_PIN_Prj#_TX# input'!$O:$O,"")&amp;""</f>
        <v>Federal</v>
      </c>
      <c r="E16" s="231" t="s">
        <v>205</v>
      </c>
      <c r="F16" s="232">
        <v>15</v>
      </c>
      <c r="G16" s="189">
        <f>F16/F26</f>
        <v>5.5845122859270293E-3</v>
      </c>
      <c r="H16" s="195">
        <f>IF(D16="Federal",'Rates_PIN_Prj#_TX# input'!$C$6,'Rates_PIN_Prj#_TX# input'!$H$6)*F16</f>
        <v>28.577999999999999</v>
      </c>
      <c r="I16" s="195">
        <f>ROUND((F16+H16)*'Rates_PIN_Prj#_TX# input'!$D$6,2)</f>
        <v>5.01</v>
      </c>
      <c r="J16" s="195"/>
      <c r="K16" s="195"/>
      <c r="L16" s="195">
        <f t="shared" si="0"/>
        <v>48.588000000000001</v>
      </c>
      <c r="M16" s="112"/>
    </row>
    <row r="17" spans="1:14" s="179" customFormat="1" x14ac:dyDescent="0.2">
      <c r="A17" s="221" t="str">
        <f>_xlfn.XLOOKUP($E17,'Rates_PIN_Prj#_TX# input'!$P:$P,'Rates_PIN_Prj#_TX# input'!$M:$M,"")&amp;""</f>
        <v>129457.00</v>
      </c>
      <c r="B17" s="221" t="str">
        <f>_xlfn.XLOOKUP($E17,'Rates_PIN_Prj#_TX# input'!$P:$P,'Rates_PIN_Prj#_TX# input'!$N:$N,"")&amp;""</f>
        <v>94007-0235-94</v>
      </c>
      <c r="C17" s="221" t="str">
        <f>_xlfn.XLOOKUP($E17,'Rates_PIN_Prj#_TX# input'!$P:$P,'Rates_PIN_Prj#_TX# input'!$Q:$Q,"")&amp;""</f>
        <v/>
      </c>
      <c r="D17" s="221" t="str">
        <f>_xlfn.XLOOKUP($E17,'Rates_PIN_Prj#_TX# input'!$P:$P,'Rates_PIN_Prj#_TX# input'!$O:$O,"")&amp;""</f>
        <v>Federal</v>
      </c>
      <c r="E17" s="231" t="s">
        <v>170</v>
      </c>
      <c r="F17" s="232">
        <v>108</v>
      </c>
      <c r="G17" s="189">
        <f>F17/F26</f>
        <v>4.0208488458674606E-2</v>
      </c>
      <c r="H17" s="195">
        <f>IF(D17="Federal",'Rates_PIN_Prj#_TX# input'!$C$6,'Rates_PIN_Prj#_TX# input'!$H$6)*F17</f>
        <v>205.76159999999999</v>
      </c>
      <c r="I17" s="195">
        <f>ROUND((F17+H17)*'Rates_PIN_Prj#_TX# input'!$D$6,2)</f>
        <v>36.08</v>
      </c>
      <c r="J17" s="195"/>
      <c r="K17" s="195"/>
      <c r="L17" s="195">
        <f>ROUND(F17+H17+I17+J17+K17,2)</f>
        <v>349.84</v>
      </c>
      <c r="M17" s="112"/>
    </row>
    <row r="18" spans="1:14" s="179" customFormat="1" x14ac:dyDescent="0.2">
      <c r="A18" s="221" t="str">
        <f>_xlfn.XLOOKUP($E18,'Rates_PIN_Prj#_TX# input'!$P:$P,'Rates_PIN_Prj#_TX# input'!$M:$M,"")&amp;""</f>
        <v>127530.00</v>
      </c>
      <c r="B18" s="221" t="str">
        <f>_xlfn.XLOOKUP($E18,'Rates_PIN_Prj#_TX# input'!$P:$P,'Rates_PIN_Prj#_TX# input'!$N:$N,"")&amp;""</f>
        <v>15003-0242-94</v>
      </c>
      <c r="C18" s="221" t="str">
        <f>_xlfn.XLOOKUP($E18,'Rates_PIN_Prj#_TX# input'!$P:$P,'Rates_PIN_Prj#_TX# input'!$Q:$Q,"")&amp;""</f>
        <v/>
      </c>
      <c r="D18" s="221" t="str">
        <f>_xlfn.XLOOKUP($E18,'Rates_PIN_Prj#_TX# input'!$P:$P,'Rates_PIN_Prj#_TX# input'!$O:$O,"")&amp;""</f>
        <v>Federal</v>
      </c>
      <c r="E18" s="231" t="s">
        <v>207</v>
      </c>
      <c r="F18" s="232">
        <v>15</v>
      </c>
      <c r="G18" s="189">
        <f>F18/F26</f>
        <v>5.5845122859270293E-3</v>
      </c>
      <c r="H18" s="195">
        <f>IF(D18="Federal",'Rates_PIN_Prj#_TX# input'!$C$6,'Rates_PIN_Prj#_TX# input'!$H$6)*F18</f>
        <v>28.577999999999999</v>
      </c>
      <c r="I18" s="195">
        <f>ROUND((F18+H18)*'Rates_PIN_Prj#_TX# input'!$D$6,2)</f>
        <v>5.01</v>
      </c>
      <c r="J18" s="195"/>
      <c r="K18" s="195"/>
      <c r="L18" s="195">
        <f t="shared" si="0"/>
        <v>48.588000000000001</v>
      </c>
      <c r="M18" s="112"/>
    </row>
    <row r="19" spans="1:14" s="179" customFormat="1" x14ac:dyDescent="0.2">
      <c r="A19" s="221" t="str">
        <f>_xlfn.XLOOKUP($E19,'Rates_PIN_Prj#_TX# input'!$P:$P,'Rates_PIN_Prj#_TX# input'!$M:$M,"")&amp;""</f>
        <v>131306.00</v>
      </c>
      <c r="B19" s="221" t="str">
        <f>_xlfn.XLOOKUP($E19,'Rates_PIN_Prj#_TX# input'!$P:$P,'Rates_PIN_Prj#_TX# input'!$N:$N,"")&amp;""</f>
        <v>57201-0159-44</v>
      </c>
      <c r="C19" s="221" t="str">
        <f>_xlfn.XLOOKUP($E19,'Rates_PIN_Prj#_TX# input'!$P:$P,'Rates_PIN_Prj#_TX# input'!$Q:$Q,"")&amp;""</f>
        <v/>
      </c>
      <c r="D19" s="221" t="str">
        <f>_xlfn.XLOOKUP($E19,'Rates_PIN_Prj#_TX# input'!$P:$P,'Rates_PIN_Prj#_TX# input'!$O:$O,"")&amp;""</f>
        <v>Federal</v>
      </c>
      <c r="E19" s="231" t="s">
        <v>135</v>
      </c>
      <c r="F19" s="232">
        <v>156</v>
      </c>
      <c r="G19" s="189">
        <f>F19/F26</f>
        <v>5.8078927773641105E-2</v>
      </c>
      <c r="H19" s="195">
        <f>IF(D19="Federal",'Rates_PIN_Prj#_TX# input'!$C$6,'Rates_PIN_Prj#_TX# input'!$H$6)*F19</f>
        <v>297.21120000000002</v>
      </c>
      <c r="I19" s="195">
        <f>ROUND((F19+H19)*'Rates_PIN_Prj#_TX# input'!$D$6,2)</f>
        <v>52.12</v>
      </c>
      <c r="J19" s="195"/>
      <c r="K19" s="195"/>
      <c r="L19" s="195">
        <f t="shared" si="0"/>
        <v>505.33100000000002</v>
      </c>
      <c r="M19" s="112"/>
    </row>
    <row r="20" spans="1:14" s="179" customFormat="1" x14ac:dyDescent="0.2">
      <c r="A20" s="221" t="str">
        <f>_xlfn.XLOOKUP($E20,'Rates_PIN_Prj#_TX# input'!$P:$P,'Rates_PIN_Prj#_TX# input'!$M:$M,"")&amp;""</f>
        <v>105768.00</v>
      </c>
      <c r="B20" s="221" t="str">
        <f>_xlfn.XLOOKUP($E20,'Rates_PIN_Prj#_TX# input'!$P:$P,'Rates_PIN_Prj#_TX# input'!$N:$N,"")&amp;""</f>
        <v>03003-1227-14</v>
      </c>
      <c r="C20" s="221" t="str">
        <f>_xlfn.XLOOKUP($E20,'Rates_PIN_Prj#_TX# input'!$P:$P,'Rates_PIN_Prj#_TX# input'!$Q:$Q,"")&amp;""</f>
        <v/>
      </c>
      <c r="D20" s="221" t="str">
        <f>_xlfn.XLOOKUP($E20,'Rates_PIN_Prj#_TX# input'!$P:$P,'Rates_PIN_Prj#_TX# input'!$O:$O,"")&amp;""</f>
        <v>Federal</v>
      </c>
      <c r="E20" s="231" t="s">
        <v>148</v>
      </c>
      <c r="F20" s="232">
        <v>250</v>
      </c>
      <c r="G20" s="189">
        <f>F20/F26</f>
        <v>9.3075204765450489E-2</v>
      </c>
      <c r="H20" s="195">
        <f>IF(D20="Federal",'Rates_PIN_Prj#_TX# input'!$C$6,'Rates_PIN_Prj#_TX# input'!$H$6)*F20</f>
        <v>476.3</v>
      </c>
      <c r="I20" s="195">
        <f>ROUND((F20+H20)*'Rates_PIN_Prj#_TX# input'!$D$6,2)</f>
        <v>83.52</v>
      </c>
      <c r="J20" s="195"/>
      <c r="K20" s="195"/>
      <c r="L20" s="195">
        <f t="shared" si="0"/>
        <v>809.82</v>
      </c>
      <c r="M20" s="112"/>
    </row>
    <row r="21" spans="1:14" s="179" customFormat="1" x14ac:dyDescent="0.2">
      <c r="A21" s="221" t="str">
        <f>_xlfn.XLOOKUP($E21,'Rates_PIN_Prj#_TX# input'!$P:$P,'Rates_PIN_Prj#_TX# input'!$M:$M,"")&amp;""</f>
        <v>124161.00</v>
      </c>
      <c r="B21" s="221" t="str">
        <f>_xlfn.XLOOKUP($E21,'Rates_PIN_Prj#_TX# input'!$P:$P,'Rates_PIN_Prj#_TX# input'!$N:$N,"")&amp;""</f>
        <v>10455-0407-04</v>
      </c>
      <c r="C21" s="221" t="str">
        <f>_xlfn.XLOOKUP($E21,'Rates_PIN_Prj#_TX# input'!$P:$P,'Rates_PIN_Prj#_TX# input'!$Q:$Q,"")&amp;""</f>
        <v/>
      </c>
      <c r="D21" s="221" t="str">
        <f>_xlfn.XLOOKUP($E21,'Rates_PIN_Prj#_TX# input'!$P:$P,'Rates_PIN_Prj#_TX# input'!$O:$O,"")&amp;""</f>
        <v>State</v>
      </c>
      <c r="E21" s="231" t="s">
        <v>136</v>
      </c>
      <c r="F21" s="232">
        <v>39</v>
      </c>
      <c r="G21" s="189">
        <f>F21/F26</f>
        <v>1.4519731943410276E-2</v>
      </c>
      <c r="H21" s="195">
        <f>IF(D21="Federal",'Rates_PIN_Prj#_TX# input'!$C$6,'Rates_PIN_Prj#_TX# input'!$H$6)*F21</f>
        <v>56.55</v>
      </c>
      <c r="I21" s="195">
        <f>ROUND((F21+H21)*'Rates_PIN_Prj#_TX# input'!$D$6,2)</f>
        <v>10.99</v>
      </c>
      <c r="J21" s="195"/>
      <c r="K21" s="195"/>
      <c r="L21" s="195">
        <f t="shared" si="0"/>
        <v>106.54</v>
      </c>
      <c r="M21" s="112"/>
    </row>
    <row r="22" spans="1:14" s="179" customFormat="1" x14ac:dyDescent="0.2">
      <c r="A22" s="221" t="str">
        <f>_xlfn.XLOOKUP($E22,'Rates_PIN_Prj#_TX# input'!$P:$P,'Rates_PIN_Prj#_TX# input'!$M:$M,"")&amp;""</f>
        <v>124519.00</v>
      </c>
      <c r="B22" s="221" t="str">
        <f>_xlfn.XLOOKUP($E22,'Rates_PIN_Prj#_TX# input'!$P:$P,'Rates_PIN_Prj#_TX# input'!$N:$N,"")&amp;""</f>
        <v>73455-0411-04</v>
      </c>
      <c r="C22" s="221" t="str">
        <f>_xlfn.XLOOKUP($E22,'Rates_PIN_Prj#_TX# input'!$P:$P,'Rates_PIN_Prj#_TX# input'!$Q:$Q,"")&amp;""</f>
        <v/>
      </c>
      <c r="D22" s="221" t="str">
        <f>_xlfn.XLOOKUP($E22,'Rates_PIN_Prj#_TX# input'!$P:$P,'Rates_PIN_Prj#_TX# input'!$O:$O,"")&amp;""</f>
        <v>State</v>
      </c>
      <c r="E22" s="231" t="s">
        <v>168</v>
      </c>
      <c r="F22" s="232">
        <v>54</v>
      </c>
      <c r="G22" s="189">
        <f>F22/F26</f>
        <v>2.0104244229337303E-2</v>
      </c>
      <c r="H22" s="195">
        <f>IF(D22="Federal",'Rates_PIN_Prj#_TX# input'!$C$6,'Rates_PIN_Prj#_TX# input'!$H$6)*F22</f>
        <v>78.3</v>
      </c>
      <c r="I22" s="195">
        <f>ROUND((F22+H22)*'Rates_PIN_Prj#_TX# input'!$D$6,2)</f>
        <v>15.21</v>
      </c>
      <c r="J22" s="195">
        <v>50.25</v>
      </c>
      <c r="K22" s="195"/>
      <c r="L22" s="195">
        <f t="shared" si="0"/>
        <v>197.76</v>
      </c>
      <c r="M22" s="112"/>
    </row>
    <row r="23" spans="1:14" s="179" customFormat="1" x14ac:dyDescent="0.2">
      <c r="A23" s="221" t="str">
        <f>_xlfn.XLOOKUP($E23,'Rates_PIN_Prj#_TX# input'!$P:$P,'Rates_PIN_Prj#_TX# input'!$M:$M,"")&amp;""</f>
        <v>121539.00</v>
      </c>
      <c r="B23" s="221" t="str">
        <f>_xlfn.XLOOKUP($E23,'Rates_PIN_Prj#_TX# input'!$P:$P,'Rates_PIN_Prj#_TX# input'!$N:$N,"")&amp;""</f>
        <v>35455-0416-04</v>
      </c>
      <c r="C23" s="221" t="str">
        <f>_xlfn.XLOOKUP($E23,'Rates_PIN_Prj#_TX# input'!$P:$P,'Rates_PIN_Prj#_TX# input'!$Q:$Q,"")&amp;""</f>
        <v/>
      </c>
      <c r="D23" s="221" t="str">
        <f>_xlfn.XLOOKUP($E23,'Rates_PIN_Prj#_TX# input'!$P:$P,'Rates_PIN_Prj#_TX# input'!$O:$O,"")&amp;""</f>
        <v>State</v>
      </c>
      <c r="E23" s="231" t="s">
        <v>137</v>
      </c>
      <c r="F23" s="232">
        <v>117</v>
      </c>
      <c r="G23" s="189">
        <f>F23/F26</f>
        <v>4.3559195830230824E-2</v>
      </c>
      <c r="H23" s="195">
        <f>IF(D23="Federal",'Rates_PIN_Prj#_TX# input'!$C$6,'Rates_PIN_Prj#_TX# input'!$H$6)*F23</f>
        <v>169.65</v>
      </c>
      <c r="I23" s="195">
        <f>ROUND((F23+H23)*'Rates_PIN_Prj#_TX# input'!$D$6,2)</f>
        <v>32.96</v>
      </c>
      <c r="J23" s="195"/>
      <c r="K23" s="195"/>
      <c r="L23" s="195">
        <f t="shared" si="0"/>
        <v>319.61</v>
      </c>
      <c r="M23" s="112"/>
    </row>
    <row r="24" spans="1:14" s="179" customFormat="1" x14ac:dyDescent="0.2">
      <c r="A24" s="221" t="str">
        <f>_xlfn.XLOOKUP($E24,'Rates_PIN_Prj#_TX# input'!$P:$P,'Rates_PIN_Prj#_TX# input'!$M:$M,"")&amp;""</f>
        <v>124692.00</v>
      </c>
      <c r="B24" s="221" t="str">
        <f>_xlfn.XLOOKUP($E24,'Rates_PIN_Prj#_TX# input'!$P:$P,'Rates_PIN_Prj#_TX# input'!$N:$N,"")&amp;""</f>
        <v>80455-0420-04</v>
      </c>
      <c r="C24" s="221" t="str">
        <f>_xlfn.XLOOKUP($E24,'Rates_PIN_Prj#_TX# input'!$P:$P,'Rates_PIN_Prj#_TX# input'!$Q:$Q,"")&amp;""</f>
        <v/>
      </c>
      <c r="D24" s="221" t="str">
        <f>_xlfn.XLOOKUP($E24,'Rates_PIN_Prj#_TX# input'!$P:$P,'Rates_PIN_Prj#_TX# input'!$O:$O,"")&amp;""</f>
        <v>State</v>
      </c>
      <c r="E24" s="231" t="s">
        <v>169</v>
      </c>
      <c r="F24" s="232">
        <v>18</v>
      </c>
      <c r="G24" s="189">
        <f>F24/F26</f>
        <v>6.7014147431124346E-3</v>
      </c>
      <c r="H24" s="195">
        <f>IF(D24="Federal",'Rates_PIN_Prj#_TX# input'!$C$6,'Rates_PIN_Prj#_TX# input'!$H$6)*F24</f>
        <v>26.099999999999998</v>
      </c>
      <c r="I24" s="195">
        <f>ROUND((F24+H24)*'Rates_PIN_Prj#_TX# input'!$D$6,2)</f>
        <v>5.07</v>
      </c>
      <c r="J24" s="195"/>
      <c r="K24" s="195"/>
      <c r="L24" s="195">
        <f t="shared" si="0"/>
        <v>49.17</v>
      </c>
      <c r="M24" s="112"/>
    </row>
    <row r="25" spans="1:14" s="179" customFormat="1" ht="15.75" thickBot="1" x14ac:dyDescent="0.25">
      <c r="A25" s="221" t="str">
        <f>_xlfn.XLOOKUP($E25,'Rates_PIN_Prj#_TX# input'!$P:$P,'Rates_PIN_Prj#_TX# input'!$M:$M,"")&amp;""</f>
        <v>107298.03</v>
      </c>
      <c r="B25" s="221" t="str">
        <f>_xlfn.XLOOKUP($E25,'Rates_PIN_Prj#_TX# input'!$P:$P,'Rates_PIN_Prj#_TX# input'!$N:$N,"")&amp;""</f>
        <v>23I155-M3-004</v>
      </c>
      <c r="C25" s="221" t="str">
        <f>_xlfn.XLOOKUP($E25,'Rates_PIN_Prj#_TX# input'!$P:$P,'Rates_PIN_Prj#_TX# input'!$Q:$Q,"")&amp;""</f>
        <v/>
      </c>
      <c r="D25" s="221" t="str">
        <f>_xlfn.XLOOKUP($E25,'Rates_PIN_Prj#_TX# input'!$P:$P,'Rates_PIN_Prj#_TX# input'!$O:$O,"")&amp;""</f>
        <v>State</v>
      </c>
      <c r="E25" s="231" t="s">
        <v>166</v>
      </c>
      <c r="F25" s="233">
        <v>18</v>
      </c>
      <c r="G25" s="215">
        <f>F25/F26</f>
        <v>6.7014147431124346E-3</v>
      </c>
      <c r="H25" s="214">
        <f>IF(D25="Federal",'Rates_PIN_Prj#_TX# input'!$C$6,'Rates_PIN_Prj#_TX# input'!$H$6)*F25</f>
        <v>26.099999999999998</v>
      </c>
      <c r="I25" s="214">
        <f>ROUND((F25+H25)*'Rates_PIN_Prj#_TX# input'!$D$6,2)</f>
        <v>5.07</v>
      </c>
      <c r="J25" s="214"/>
      <c r="K25" s="214"/>
      <c r="L25" s="195">
        <f t="shared" si="0"/>
        <v>49.17</v>
      </c>
      <c r="M25" s="112"/>
    </row>
    <row r="26" spans="1:14" ht="16.5" thickBot="1" x14ac:dyDescent="0.25">
      <c r="F26" s="194">
        <f>ROUND(SUM(F2:F25),2)</f>
        <v>2686</v>
      </c>
      <c r="G26" s="216">
        <f>SUM(G2:G25)</f>
        <v>1.0000000000000002</v>
      </c>
      <c r="H26" s="217">
        <f>ROUND(SUM(H2:H25),2)</f>
        <v>5005.3900000000003</v>
      </c>
      <c r="I26" s="217">
        <f>ROUND(SUM(I2:I25),2)</f>
        <v>884.49</v>
      </c>
      <c r="J26" s="217">
        <f>ROUND(SUM(J2:J25),2)</f>
        <v>83.75</v>
      </c>
      <c r="K26" s="218">
        <f>SUM(K2:K25)</f>
        <v>0</v>
      </c>
      <c r="L26" s="220">
        <f>ROUND((L27+L28),3)</f>
        <v>8659.6260000000002</v>
      </c>
      <c r="M26" s="110" t="s">
        <v>172</v>
      </c>
    </row>
    <row r="27" spans="1:14" ht="15.75" thickBot="1" x14ac:dyDescent="0.25">
      <c r="E27" s="111"/>
      <c r="G27" s="110" t="s">
        <v>84</v>
      </c>
      <c r="L27" s="219">
        <f>SUMIFS($L$2:$L$25,$D$2:$D$25,$N27)</f>
        <v>722.25</v>
      </c>
      <c r="M27" s="211" t="s">
        <v>216</v>
      </c>
      <c r="N27" s="212" t="s">
        <v>50</v>
      </c>
    </row>
    <row r="28" spans="1:14" ht="15.75" thickBot="1" x14ac:dyDescent="0.25">
      <c r="F28" s="179"/>
      <c r="G28" s="179"/>
      <c r="H28" s="179"/>
      <c r="I28" s="179"/>
      <c r="J28" s="179"/>
      <c r="K28" s="179"/>
      <c r="L28" s="213">
        <f>SUMIFS($L$2:$L$25,$D$2:$D$25,$N28)</f>
        <v>7937.3759999999984</v>
      </c>
      <c r="M28" s="211" t="s">
        <v>217</v>
      </c>
      <c r="N28" s="212" t="s">
        <v>49</v>
      </c>
    </row>
    <row r="30" spans="1:14" ht="15.75" thickBot="1" x14ac:dyDescent="0.25"/>
    <row r="31" spans="1:14" ht="54" x14ac:dyDescent="0.25">
      <c r="A31" s="113" t="s">
        <v>71</v>
      </c>
      <c r="B31" s="114" t="s">
        <v>72</v>
      </c>
      <c r="C31" s="114" t="s">
        <v>85</v>
      </c>
      <c r="D31" s="114" t="s">
        <v>74</v>
      </c>
      <c r="E31" s="115" t="s">
        <v>86</v>
      </c>
      <c r="F31" s="116" t="s">
        <v>87</v>
      </c>
      <c r="G31" s="116" t="s">
        <v>88</v>
      </c>
      <c r="H31" s="116" t="s">
        <v>89</v>
      </c>
      <c r="I31" s="117" t="s">
        <v>90</v>
      </c>
      <c r="J31" s="117"/>
      <c r="K31" s="117" t="s">
        <v>91</v>
      </c>
      <c r="L31" s="118" t="s">
        <v>78</v>
      </c>
      <c r="M31" s="119" t="s">
        <v>79</v>
      </c>
    </row>
    <row r="32" spans="1:14" ht="15.75" x14ac:dyDescent="0.25">
      <c r="A32" s="221" t="str">
        <f>_xlfn.XLOOKUP($E32,'Rates_PIN_Prj#_TX# input'!$P:$P,'Rates_PIN_Prj#_TX# input'!$M:$M,"")&amp;""</f>
        <v>118852.01</v>
      </c>
      <c r="B32" s="221" t="str">
        <f>_xlfn.XLOOKUP($E32,'Rates_PIN_Prj#_TX# input'!$P:$P,'Rates_PIN_Prj#_TX# input'!$N:$N,"")&amp;""</f>
        <v>23011-0240-94</v>
      </c>
      <c r="C32" s="221" t="str">
        <f>_xlfn.XLOOKUP($E32,'Rates_PIN_Prj#_TX# input'!$P:$P,'Rates_PIN_Prj#_TX# input'!$Q:$Q,"")&amp;""</f>
        <v/>
      </c>
      <c r="D32" s="221" t="str">
        <f>_xlfn.XLOOKUP($E32,'Rates_PIN_Prj#_TX# input'!$P:$P,'Rates_PIN_Prj#_TX# input'!$O:$O,"")&amp;""</f>
        <v>Federal</v>
      </c>
      <c r="E32" s="143" t="str">
        <f>E14</f>
        <v>TX00303023</v>
      </c>
      <c r="F32" s="196">
        <v>50</v>
      </c>
      <c r="G32" s="196">
        <v>0.67</v>
      </c>
      <c r="H32" s="191">
        <f>ROUND(F32*G32,2)</f>
        <v>33.5</v>
      </c>
      <c r="I32" s="191">
        <v>0</v>
      </c>
      <c r="J32" s="191"/>
      <c r="K32" s="196">
        <v>0</v>
      </c>
      <c r="L32" s="196">
        <f>ROUND(SUM(H32:K32),2)</f>
        <v>33.5</v>
      </c>
      <c r="M32" s="158"/>
    </row>
    <row r="33" spans="1:13" ht="15.75" x14ac:dyDescent="0.25">
      <c r="A33" s="221" t="str">
        <f>_xlfn.XLOOKUP($E33,'Rates_PIN_Prj#_TX# input'!$P:$P,'Rates_PIN_Prj#_TX# input'!$M:$M,"")&amp;""</f>
        <v>124161.00</v>
      </c>
      <c r="B33" s="221" t="str">
        <f>_xlfn.XLOOKUP($E33,'Rates_PIN_Prj#_TX# input'!$P:$P,'Rates_PIN_Prj#_TX# input'!$N:$N,"")&amp;""</f>
        <v>10455-0407-04</v>
      </c>
      <c r="C33" s="221" t="str">
        <f>_xlfn.XLOOKUP($E33,'Rates_PIN_Prj#_TX# input'!$P:$P,'Rates_PIN_Prj#_TX# input'!$Q:$Q,"")&amp;""</f>
        <v/>
      </c>
      <c r="D33" s="221" t="str">
        <f>_xlfn.XLOOKUP($E33,'Rates_PIN_Prj#_TX# input'!$P:$P,'Rates_PIN_Prj#_TX# input'!$O:$O,"")&amp;""</f>
        <v>State</v>
      </c>
      <c r="E33" s="143" t="s">
        <v>136</v>
      </c>
      <c r="F33" s="196">
        <v>75</v>
      </c>
      <c r="G33" s="196">
        <v>0.67</v>
      </c>
      <c r="H33" s="191">
        <f t="shared" ref="H33:H35" si="1">ROUND(F33*G33,2)</f>
        <v>50.25</v>
      </c>
      <c r="I33" s="191">
        <v>0</v>
      </c>
      <c r="J33" s="191"/>
      <c r="K33" s="196">
        <v>0</v>
      </c>
      <c r="L33" s="196">
        <f>ROUND(SUM(H33:K33),2)</f>
        <v>50.25</v>
      </c>
      <c r="M33" s="158"/>
    </row>
    <row r="34" spans="1:13" ht="15.75" x14ac:dyDescent="0.25">
      <c r="A34" s="221" t="str">
        <f>_xlfn.XLOOKUP($E34,'Rates_PIN_Prj#_TX# input'!$P:$P,'Rates_PIN_Prj#_TX# input'!$M:$M,"")&amp;""</f>
        <v/>
      </c>
      <c r="B34" s="221" t="str">
        <f>_xlfn.XLOOKUP($E34,'Rates_PIN_Prj#_TX# input'!$P:$P,'Rates_PIN_Prj#_TX# input'!$N:$N,"")&amp;""</f>
        <v/>
      </c>
      <c r="C34" s="221" t="str">
        <f>_xlfn.XLOOKUP($E34,'Rates_PIN_Prj#_TX# input'!$P:$P,'Rates_PIN_Prj#_TX# input'!$Q:$Q,"")&amp;""</f>
        <v/>
      </c>
      <c r="D34" s="221" t="str">
        <f>_xlfn.XLOOKUP($E34,'Rates_PIN_Prj#_TX# input'!$P:$P,'Rates_PIN_Prj#_TX# input'!$O:$O,"")&amp;""</f>
        <v/>
      </c>
      <c r="E34" s="143"/>
      <c r="F34" s="196">
        <v>0</v>
      </c>
      <c r="G34" s="196">
        <v>0.67</v>
      </c>
      <c r="H34" s="191">
        <f t="shared" si="1"/>
        <v>0</v>
      </c>
      <c r="I34" s="191">
        <v>0</v>
      </c>
      <c r="J34" s="191"/>
      <c r="K34" s="196">
        <v>0</v>
      </c>
      <c r="L34" s="196">
        <f>ROUND(SUM(H34:K34),2)</f>
        <v>0</v>
      </c>
      <c r="M34" s="158"/>
    </row>
    <row r="35" spans="1:13" ht="15.75" x14ac:dyDescent="0.25">
      <c r="A35" s="221" t="str">
        <f>_xlfn.XLOOKUP($E35,'Rates_PIN_Prj#_TX# input'!$P:$P,'Rates_PIN_Prj#_TX# input'!$M:$M,"")&amp;""</f>
        <v/>
      </c>
      <c r="B35" s="221" t="str">
        <f>_xlfn.XLOOKUP($E35,'Rates_PIN_Prj#_TX# input'!$P:$P,'Rates_PIN_Prj#_TX# input'!$N:$N,"")&amp;""</f>
        <v/>
      </c>
      <c r="C35" s="221" t="str">
        <f>_xlfn.XLOOKUP($E35,'Rates_PIN_Prj#_TX# input'!$P:$P,'Rates_PIN_Prj#_TX# input'!$Q:$Q,"")&amp;""</f>
        <v/>
      </c>
      <c r="D35" s="221" t="str">
        <f>_xlfn.XLOOKUP($E35,'Rates_PIN_Prj#_TX# input'!$P:$P,'Rates_PIN_Prj#_TX# input'!$O:$O,"")&amp;""</f>
        <v/>
      </c>
      <c r="E35" s="143"/>
      <c r="F35" s="196">
        <v>0</v>
      </c>
      <c r="G35" s="196">
        <v>0.67</v>
      </c>
      <c r="H35" s="191">
        <f t="shared" si="1"/>
        <v>0</v>
      </c>
      <c r="I35" s="191">
        <v>0</v>
      </c>
      <c r="J35" s="191"/>
      <c r="K35" s="196">
        <v>0</v>
      </c>
      <c r="L35" s="196">
        <f>ROUND(SUM(H35:K35),2)</f>
        <v>0</v>
      </c>
      <c r="M35" s="158"/>
    </row>
    <row r="36" spans="1:13" ht="19.5" thickBot="1" x14ac:dyDescent="0.35">
      <c r="A36" s="157" t="s">
        <v>92</v>
      </c>
      <c r="B36" s="157"/>
      <c r="C36" s="157"/>
      <c r="D36" s="157"/>
      <c r="E36" s="157"/>
      <c r="F36" s="157"/>
      <c r="G36" s="144"/>
      <c r="H36" s="144"/>
      <c r="I36" s="144"/>
      <c r="J36" s="144"/>
      <c r="K36" s="145" t="s">
        <v>93</v>
      </c>
      <c r="L36" s="197">
        <f>SUM(L32:L35)</f>
        <v>83.75</v>
      </c>
      <c r="M36" s="120"/>
    </row>
  </sheetData>
  <protectedRanges>
    <protectedRange sqref="G32:G35 I32:K35 F32 M32:M35" name="Range1"/>
  </protectedRanges>
  <autoFilter ref="A1:M28" xr:uid="{5E3AB47C-4F82-4C0A-B105-5B2E77564E4A}"/>
  <dataValidations count="5">
    <dataValidation allowBlank="1" showInputMessage="1" showErrorMessage="1" prompt="Consult the Comprehensive State Travel Regs for allowable travel rates (including per diem)" sqref="K32:K35" xr:uid="{3E945136-FE29-41F2-81DD-21680177C631}"/>
    <dataValidation allowBlank="1" showInputMessage="1" showErrorMessage="1" prompt="Consult the Comprehensive State Travel Regs for allowable travel rates" sqref="I32:J35" xr:uid="{D85606B7-3D9E-4333-9426-41A1F7CCF684}"/>
    <dataValidation allowBlank="1" showInputMessage="1" showErrorMessage="1" prompt="This cell autopopulates - it multiplies total miles and mileage rate." sqref="H32:H35" xr:uid="{F7F84C73-0171-4986-BBD4-60F605238438}"/>
    <dataValidation allowBlank="1" showInputMessage="1" showErrorMessage="1" prompt="TDOT to enter this information after invoice submittal." sqref="E32:E35" xr:uid="{093FCC10-9541-465A-903D-4A406593315A}"/>
    <dataValidation allowBlank="1" showInputMessage="1" showErrorMessage="1" prompt="This cell autopopulates based on entries in the Consultant Weekly Time Sheet." sqref="F32:F35" xr:uid="{AA018930-CA40-4E4C-A7EE-9D3D68CD00EE}"/>
  </dataValidations>
  <printOptions horizontalCentered="1"/>
  <pageMargins left="0" right="0" top="0.75" bottom="0.75" header="0.3" footer="0.3"/>
  <pageSetup scale="60" orientation="landscape" verticalDpi="1200" r:id="rId1"/>
  <headerFooter>
    <oddHeader xml:space="preserve">&amp;C&amp;"-,Bold"&amp;18Direct Cost - Summary  </oddHeader>
    <oddFooter xml:space="preserve">&amp;RVersion Created 02/15/2024  </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55FFFE-0203-497C-B576-613875A662C2}">
  <dimension ref="A1:U55"/>
  <sheetViews>
    <sheetView zoomScale="110" zoomScaleNormal="110" workbookViewId="0">
      <selection activeCell="L16" sqref="L16"/>
    </sheetView>
  </sheetViews>
  <sheetFormatPr defaultRowHeight="12.75" x14ac:dyDescent="0.2"/>
  <cols>
    <col min="1" max="1" width="15.42578125" customWidth="1"/>
    <col min="2" max="2" width="17" style="142" bestFit="1" customWidth="1"/>
    <col min="3" max="3" width="12.140625" style="142" bestFit="1" customWidth="1"/>
    <col min="4" max="4" width="15" style="142" bestFit="1" customWidth="1"/>
    <col min="5" max="5" width="12.140625" style="142" bestFit="1" customWidth="1"/>
    <col min="6" max="6" width="16" style="142" bestFit="1" customWidth="1"/>
    <col min="7" max="7" width="12.140625" style="142" bestFit="1" customWidth="1"/>
    <col min="8" max="8" width="18.85546875" style="142" bestFit="1" customWidth="1"/>
    <col min="9" max="9" width="17.42578125" style="142" bestFit="1" customWidth="1"/>
    <col min="10" max="10" width="14.7109375" customWidth="1"/>
    <col min="12" max="12" width="50.5703125" bestFit="1" customWidth="1"/>
    <col min="13" max="13" width="18.140625" bestFit="1" customWidth="1"/>
    <col min="14" max="14" width="18.140625" customWidth="1"/>
    <col min="15" max="15" width="17" customWidth="1"/>
    <col min="16" max="16" width="15" bestFit="1" customWidth="1"/>
    <col min="17" max="17" width="10.140625" customWidth="1"/>
    <col min="18" max="18" width="16" bestFit="1" customWidth="1"/>
    <col min="19" max="19" width="12.140625" bestFit="1" customWidth="1"/>
    <col min="20" max="20" width="13.5703125" bestFit="1" customWidth="1"/>
    <col min="21" max="21" width="12.140625" bestFit="1" customWidth="1"/>
    <col min="22" max="22" width="18.85546875" bestFit="1" customWidth="1"/>
    <col min="23" max="23" width="14.85546875" customWidth="1"/>
  </cols>
  <sheetData>
    <row r="1" spans="1:21" ht="27.75" customHeight="1" x14ac:dyDescent="0.2">
      <c r="A1" s="279" t="s">
        <v>180</v>
      </c>
      <c r="B1" s="280"/>
      <c r="C1" s="280"/>
      <c r="D1" s="280"/>
      <c r="E1" s="138"/>
      <c r="F1" s="281" t="s">
        <v>106</v>
      </c>
      <c r="G1" s="281"/>
      <c r="H1" s="281"/>
      <c r="I1" s="281"/>
      <c r="J1" s="282"/>
    </row>
    <row r="2" spans="1:21" ht="36" customHeight="1" x14ac:dyDescent="0.2">
      <c r="A2" s="125" t="s">
        <v>85</v>
      </c>
      <c r="B2" s="139" t="s">
        <v>99</v>
      </c>
      <c r="C2" s="139" t="s">
        <v>100</v>
      </c>
      <c r="D2" s="139" t="s">
        <v>101</v>
      </c>
      <c r="E2" s="139" t="s">
        <v>102</v>
      </c>
      <c r="F2" s="140" t="s">
        <v>103</v>
      </c>
      <c r="G2" s="139" t="s">
        <v>75</v>
      </c>
      <c r="H2" s="139" t="s">
        <v>104</v>
      </c>
      <c r="I2" s="139" t="s">
        <v>108</v>
      </c>
      <c r="J2" s="126" t="s">
        <v>105</v>
      </c>
      <c r="L2" s="224" t="s">
        <v>228</v>
      </c>
      <c r="M2" s="165"/>
      <c r="N2" s="165"/>
    </row>
    <row r="3" spans="1:21" x14ac:dyDescent="0.2">
      <c r="A3" s="127">
        <v>45348</v>
      </c>
      <c r="B3" s="141" t="s">
        <v>175</v>
      </c>
      <c r="C3" s="141">
        <v>0.5</v>
      </c>
      <c r="D3" s="141">
        <f>VLOOKUP(B3,'Rates_PIN_Prj#_TX# input'!$A$7:$B$14,2,FALSE)*C3</f>
        <v>39</v>
      </c>
      <c r="E3" s="141"/>
      <c r="F3" s="141" t="s">
        <v>50</v>
      </c>
      <c r="G3" s="141" t="s">
        <v>137</v>
      </c>
      <c r="H3" s="141" t="s">
        <v>114</v>
      </c>
      <c r="I3" s="141" t="s">
        <v>115</v>
      </c>
      <c r="J3" s="128"/>
      <c r="L3" s="225" t="s">
        <v>227</v>
      </c>
      <c r="R3" s="137"/>
      <c r="S3" s="137"/>
      <c r="T3" s="137"/>
      <c r="U3" s="137"/>
    </row>
    <row r="4" spans="1:21" x14ac:dyDescent="0.2">
      <c r="A4" s="127">
        <v>45348</v>
      </c>
      <c r="B4" s="141" t="s">
        <v>175</v>
      </c>
      <c r="C4" s="141">
        <v>1</v>
      </c>
      <c r="D4" s="141">
        <f>VLOOKUP(B4,'Rates_PIN_Prj#_TX# input'!$A$7:$B$14,2,FALSE)*C4</f>
        <v>78</v>
      </c>
      <c r="E4" s="141"/>
      <c r="F4" s="141" t="s">
        <v>49</v>
      </c>
      <c r="G4" s="141" t="s">
        <v>135</v>
      </c>
      <c r="H4" s="141" t="s">
        <v>127</v>
      </c>
      <c r="I4" s="141" t="s">
        <v>128</v>
      </c>
      <c r="J4" s="128"/>
      <c r="R4" s="137"/>
      <c r="S4" s="137"/>
      <c r="T4" s="137"/>
      <c r="U4" s="137"/>
    </row>
    <row r="5" spans="1:21" x14ac:dyDescent="0.2">
      <c r="A5" s="127">
        <v>45348</v>
      </c>
      <c r="B5" s="141" t="s">
        <v>175</v>
      </c>
      <c r="C5" s="141">
        <v>0.5</v>
      </c>
      <c r="D5" s="141">
        <f>VLOOKUP(B5,'Rates_PIN_Prj#_TX# input'!$A$7:$B$14,2,FALSE)*C5</f>
        <v>39</v>
      </c>
      <c r="E5" s="141"/>
      <c r="F5" s="141" t="s">
        <v>49</v>
      </c>
      <c r="G5" s="141" t="s">
        <v>132</v>
      </c>
      <c r="H5" s="141" t="s">
        <v>125</v>
      </c>
      <c r="I5" s="141" t="s">
        <v>126</v>
      </c>
      <c r="J5" s="128"/>
      <c r="R5" s="137"/>
      <c r="S5" s="137"/>
      <c r="T5" s="137"/>
      <c r="U5" s="137"/>
    </row>
    <row r="6" spans="1:21" x14ac:dyDescent="0.2">
      <c r="A6" s="127">
        <v>45349</v>
      </c>
      <c r="B6" s="141" t="s">
        <v>175</v>
      </c>
      <c r="C6" s="141">
        <v>0.5</v>
      </c>
      <c r="D6" s="141">
        <f>VLOOKUP(B6,'Rates_PIN_Prj#_TX# input'!$A$7:$B$14,2,FALSE)*C6</f>
        <v>39</v>
      </c>
      <c r="E6" s="141"/>
      <c r="F6" s="141" t="s">
        <v>49</v>
      </c>
      <c r="G6" s="141" t="s">
        <v>134</v>
      </c>
      <c r="H6" s="141" t="s">
        <v>110</v>
      </c>
      <c r="I6" s="141" t="s">
        <v>111</v>
      </c>
      <c r="J6" s="128"/>
      <c r="R6" s="137"/>
      <c r="S6" s="137"/>
      <c r="T6" s="137"/>
      <c r="U6" s="137"/>
    </row>
    <row r="7" spans="1:21" x14ac:dyDescent="0.2">
      <c r="A7" s="127">
        <v>45350</v>
      </c>
      <c r="B7" s="141" t="s">
        <v>175</v>
      </c>
      <c r="C7" s="141">
        <v>2.5</v>
      </c>
      <c r="D7" s="141">
        <f>VLOOKUP(B7,'Rates_PIN_Prj#_TX# input'!$A$7:$B$14,2,FALSE)*C7</f>
        <v>195</v>
      </c>
      <c r="E7" s="141"/>
      <c r="F7" s="141" t="s">
        <v>49</v>
      </c>
      <c r="G7" s="141" t="s">
        <v>131</v>
      </c>
      <c r="H7" s="141" t="s">
        <v>123</v>
      </c>
      <c r="I7" s="141" t="s">
        <v>124</v>
      </c>
      <c r="J7" s="128"/>
      <c r="R7" s="137"/>
      <c r="S7" s="137"/>
      <c r="T7" s="137"/>
      <c r="U7" s="137"/>
    </row>
    <row r="8" spans="1:21" x14ac:dyDescent="0.2">
      <c r="A8" s="127">
        <v>45351</v>
      </c>
      <c r="B8" s="141" t="s">
        <v>175</v>
      </c>
      <c r="C8" s="141">
        <v>0.5</v>
      </c>
      <c r="D8" s="141">
        <f>VLOOKUP(B8,'Rates_PIN_Prj#_TX# input'!$A$7:$B$14,2,FALSE)*C8</f>
        <v>39</v>
      </c>
      <c r="E8" s="141"/>
      <c r="F8" s="141" t="s">
        <v>49</v>
      </c>
      <c r="G8" s="141" t="s">
        <v>133</v>
      </c>
      <c r="H8" s="141" t="s">
        <v>129</v>
      </c>
      <c r="I8" s="141" t="s">
        <v>130</v>
      </c>
      <c r="J8" s="128"/>
      <c r="L8" s="284"/>
      <c r="M8" s="284"/>
      <c r="R8" s="137"/>
      <c r="S8" s="137"/>
      <c r="T8" s="137"/>
      <c r="U8" s="137"/>
    </row>
    <row r="9" spans="1:21" x14ac:dyDescent="0.2">
      <c r="A9" s="127">
        <v>45351</v>
      </c>
      <c r="B9" s="141" t="s">
        <v>175</v>
      </c>
      <c r="C9" s="141">
        <v>0.5</v>
      </c>
      <c r="D9" s="141">
        <f>VLOOKUP(B9,'Rates_PIN_Prj#_TX# input'!$A$7:$B$14,2,FALSE)*C9</f>
        <v>39</v>
      </c>
      <c r="E9" s="141"/>
      <c r="F9" s="141" t="s">
        <v>50</v>
      </c>
      <c r="G9" s="141" t="s">
        <v>136</v>
      </c>
      <c r="H9" s="141" t="s">
        <v>112</v>
      </c>
      <c r="I9" s="141" t="s">
        <v>113</v>
      </c>
      <c r="J9" s="128"/>
      <c r="L9" s="284"/>
      <c r="M9" s="284"/>
      <c r="R9" s="137"/>
      <c r="S9" s="137"/>
      <c r="T9" s="137"/>
      <c r="U9" s="137"/>
    </row>
    <row r="10" spans="1:21" x14ac:dyDescent="0.2">
      <c r="A10" s="127">
        <v>45351</v>
      </c>
      <c r="B10" s="141" t="s">
        <v>175</v>
      </c>
      <c r="C10" s="141">
        <v>0.5</v>
      </c>
      <c r="D10" s="141">
        <f>VLOOKUP(B10,'Rates_PIN_Prj#_TX# input'!$A$7:$B$14,2,FALSE)*C10</f>
        <v>39</v>
      </c>
      <c r="E10" s="141"/>
      <c r="F10" s="141" t="s">
        <v>50</v>
      </c>
      <c r="G10" s="141" t="s">
        <v>137</v>
      </c>
      <c r="H10" s="141" t="s">
        <v>114</v>
      </c>
      <c r="I10" s="141" t="s">
        <v>115</v>
      </c>
      <c r="J10" s="128"/>
      <c r="L10" s="207"/>
      <c r="R10" s="137"/>
      <c r="S10" s="137"/>
      <c r="T10" s="137"/>
      <c r="U10" s="137"/>
    </row>
    <row r="11" spans="1:21" x14ac:dyDescent="0.2">
      <c r="A11" s="127">
        <v>45369</v>
      </c>
      <c r="B11" s="141" t="s">
        <v>177</v>
      </c>
      <c r="C11" s="141">
        <v>0.5</v>
      </c>
      <c r="D11" s="141">
        <f>VLOOKUP(B11,'Rates_PIN_Prj#_TX# input'!$A$7:$B$14,2,FALSE)*C11</f>
        <v>18</v>
      </c>
      <c r="E11" s="141"/>
      <c r="F11" s="141" t="s">
        <v>49</v>
      </c>
      <c r="G11" s="141" t="s">
        <v>165</v>
      </c>
      <c r="H11" s="141" t="s">
        <v>157</v>
      </c>
      <c r="I11" s="141" t="s">
        <v>158</v>
      </c>
      <c r="J11" s="128"/>
      <c r="L11" s="207"/>
      <c r="R11" s="137"/>
      <c r="S11" s="137"/>
      <c r="T11" s="137"/>
      <c r="U11" s="137"/>
    </row>
    <row r="12" spans="1:21" x14ac:dyDescent="0.2">
      <c r="A12" s="127">
        <v>45369</v>
      </c>
      <c r="B12" s="141" t="s">
        <v>177</v>
      </c>
      <c r="C12" s="141">
        <v>0.5</v>
      </c>
      <c r="D12" s="141">
        <f>VLOOKUP(B12,'Rates_PIN_Prj#_TX# input'!$A$7:$B$14,2,FALSE)*C12</f>
        <v>18</v>
      </c>
      <c r="E12" s="141"/>
      <c r="F12" s="141" t="s">
        <v>50</v>
      </c>
      <c r="G12" s="141" t="s">
        <v>166</v>
      </c>
      <c r="H12" s="141" t="s">
        <v>153</v>
      </c>
      <c r="I12" s="141" t="s">
        <v>154</v>
      </c>
      <c r="J12" s="128"/>
      <c r="N12" t="s">
        <v>174</v>
      </c>
      <c r="R12" s="137"/>
      <c r="S12" s="137"/>
      <c r="T12" s="137"/>
      <c r="U12" s="137"/>
    </row>
    <row r="13" spans="1:21" x14ac:dyDescent="0.2">
      <c r="A13" s="127">
        <v>45369</v>
      </c>
      <c r="B13" s="141" t="s">
        <v>177</v>
      </c>
      <c r="C13" s="141">
        <v>4</v>
      </c>
      <c r="D13" s="141">
        <f>VLOOKUP(B13,'Rates_PIN_Prj#_TX# input'!$A$7:$B$14,2,FALSE)*C13</f>
        <v>144</v>
      </c>
      <c r="E13" s="141"/>
      <c r="F13" s="141" t="s">
        <v>49</v>
      </c>
      <c r="G13" s="141" t="s">
        <v>134</v>
      </c>
      <c r="H13" s="141" t="s">
        <v>110</v>
      </c>
      <c r="I13" s="141" t="s">
        <v>111</v>
      </c>
      <c r="J13" s="128"/>
      <c r="R13" s="137"/>
      <c r="S13" s="137"/>
      <c r="T13" s="137"/>
      <c r="U13" s="137"/>
    </row>
    <row r="14" spans="1:21" x14ac:dyDescent="0.2">
      <c r="A14" s="127">
        <v>45369</v>
      </c>
      <c r="B14" s="141" t="s">
        <v>177</v>
      </c>
      <c r="C14" s="141">
        <v>1</v>
      </c>
      <c r="D14" s="141">
        <f>VLOOKUP(B14,'Rates_PIN_Prj#_TX# input'!$A$7:$B$14,2,FALSE)*C14</f>
        <v>36</v>
      </c>
      <c r="E14" s="141"/>
      <c r="F14" s="141" t="s">
        <v>49</v>
      </c>
      <c r="G14" s="141" t="s">
        <v>167</v>
      </c>
      <c r="H14" s="141" t="s">
        <v>155</v>
      </c>
      <c r="I14" s="141" t="s">
        <v>156</v>
      </c>
      <c r="J14" s="128"/>
      <c r="R14" s="137"/>
      <c r="S14" s="137"/>
      <c r="T14" s="137"/>
      <c r="U14" s="137"/>
    </row>
    <row r="15" spans="1:21" x14ac:dyDescent="0.2">
      <c r="A15" s="127">
        <v>45369</v>
      </c>
      <c r="B15" s="141" t="s">
        <v>177</v>
      </c>
      <c r="C15" s="141">
        <v>1</v>
      </c>
      <c r="D15" s="141">
        <f>VLOOKUP(B15,'Rates_PIN_Prj#_TX# input'!$A$7:$B$14,2,FALSE)*C15</f>
        <v>36</v>
      </c>
      <c r="E15" s="141"/>
      <c r="F15" s="141" t="s">
        <v>50</v>
      </c>
      <c r="G15" s="141" t="s">
        <v>168</v>
      </c>
      <c r="H15" s="141" t="s">
        <v>159</v>
      </c>
      <c r="I15" s="141" t="s">
        <v>160</v>
      </c>
      <c r="J15" s="128"/>
      <c r="R15" s="137"/>
      <c r="S15" s="137"/>
      <c r="T15" s="137"/>
      <c r="U15" s="137"/>
    </row>
    <row r="16" spans="1:21" x14ac:dyDescent="0.2">
      <c r="A16" s="127">
        <v>45369</v>
      </c>
      <c r="B16" s="141" t="s">
        <v>177</v>
      </c>
      <c r="C16" s="141">
        <v>0.5</v>
      </c>
      <c r="D16" s="141">
        <f>VLOOKUP(B16,'Rates_PIN_Prj#_TX# input'!$A$7:$B$14,2,FALSE)*C16</f>
        <v>18</v>
      </c>
      <c r="E16" s="141"/>
      <c r="F16" s="141" t="s">
        <v>50</v>
      </c>
      <c r="G16" s="141" t="s">
        <v>169</v>
      </c>
      <c r="H16" s="141" t="s">
        <v>161</v>
      </c>
      <c r="I16" s="141" t="s">
        <v>162</v>
      </c>
      <c r="J16" s="128"/>
      <c r="R16" s="137"/>
      <c r="S16" s="137"/>
      <c r="T16" s="137"/>
      <c r="U16" s="137"/>
    </row>
    <row r="17" spans="1:21" x14ac:dyDescent="0.2">
      <c r="A17" s="127">
        <v>45369</v>
      </c>
      <c r="B17" s="141" t="s">
        <v>176</v>
      </c>
      <c r="C17" s="141">
        <v>4</v>
      </c>
      <c r="D17" s="141">
        <f>VLOOKUP(B17,'Rates_PIN_Prj#_TX# input'!$A$7:$B$14,2,FALSE)*C17</f>
        <v>112</v>
      </c>
      <c r="E17" s="141"/>
      <c r="F17" s="141" t="s">
        <v>49</v>
      </c>
      <c r="G17" s="141" t="s">
        <v>150</v>
      </c>
      <c r="H17" s="141" t="s">
        <v>140</v>
      </c>
      <c r="I17" s="141" t="s">
        <v>141</v>
      </c>
      <c r="J17" s="128"/>
      <c r="R17" s="137"/>
      <c r="S17" s="137"/>
      <c r="T17" s="137"/>
      <c r="U17" s="137"/>
    </row>
    <row r="18" spans="1:21" x14ac:dyDescent="0.2">
      <c r="A18" s="127">
        <v>45369</v>
      </c>
      <c r="B18" s="141" t="s">
        <v>176</v>
      </c>
      <c r="C18" s="141">
        <v>1</v>
      </c>
      <c r="D18" s="141">
        <f>VLOOKUP(B18,'Rates_PIN_Prj#_TX# input'!$A$7:$B$14,2,FALSE)*C18</f>
        <v>28</v>
      </c>
      <c r="E18" s="141"/>
      <c r="F18" s="141" t="s">
        <v>49</v>
      </c>
      <c r="G18" s="141" t="s">
        <v>134</v>
      </c>
      <c r="H18" s="141" t="s">
        <v>110</v>
      </c>
      <c r="I18" s="141" t="s">
        <v>111</v>
      </c>
      <c r="J18" s="128"/>
      <c r="R18" s="137"/>
      <c r="S18" s="137"/>
      <c r="T18" s="137"/>
      <c r="U18" s="137"/>
    </row>
    <row r="19" spans="1:21" x14ac:dyDescent="0.2">
      <c r="A19" s="127">
        <v>45369</v>
      </c>
      <c r="B19" s="141" t="s">
        <v>176</v>
      </c>
      <c r="C19" s="141">
        <v>2</v>
      </c>
      <c r="D19" s="141">
        <f>VLOOKUP(B19,'Rates_PIN_Prj#_TX# input'!$A$7:$B$14,2,FALSE)*C19</f>
        <v>56</v>
      </c>
      <c r="E19" s="141"/>
      <c r="F19" s="141" t="s">
        <v>49</v>
      </c>
      <c r="G19" s="141" t="s">
        <v>152</v>
      </c>
      <c r="H19" s="141" t="s">
        <v>144</v>
      </c>
      <c r="I19" s="141" t="s">
        <v>145</v>
      </c>
      <c r="J19" s="128"/>
      <c r="R19" s="137"/>
      <c r="S19" s="137"/>
      <c r="T19" s="137"/>
      <c r="U19" s="137"/>
    </row>
    <row r="20" spans="1:21" x14ac:dyDescent="0.2">
      <c r="A20" s="127">
        <v>45369</v>
      </c>
      <c r="B20" s="141" t="s">
        <v>176</v>
      </c>
      <c r="C20" s="141">
        <v>1</v>
      </c>
      <c r="D20" s="141">
        <f>VLOOKUP(B20,'Rates_PIN_Prj#_TX# input'!$A$7:$B$14,2,FALSE)*C20</f>
        <v>28</v>
      </c>
      <c r="E20" s="141"/>
      <c r="F20" s="141" t="s">
        <v>49</v>
      </c>
      <c r="G20" s="141" t="s">
        <v>149</v>
      </c>
      <c r="H20" s="141" t="s">
        <v>138</v>
      </c>
      <c r="I20" s="141" t="s">
        <v>139</v>
      </c>
      <c r="J20" s="128"/>
      <c r="R20" s="137"/>
      <c r="S20" s="137"/>
      <c r="T20" s="137"/>
      <c r="U20" s="137"/>
    </row>
    <row r="21" spans="1:21" x14ac:dyDescent="0.2">
      <c r="A21" s="127">
        <v>45369</v>
      </c>
      <c r="B21" s="141" t="s">
        <v>176</v>
      </c>
      <c r="C21" s="141">
        <v>1</v>
      </c>
      <c r="D21" s="141">
        <f>VLOOKUP(B21,'Rates_PIN_Prj#_TX# input'!$A$7:$B$14,2,FALSE)*C21</f>
        <v>28</v>
      </c>
      <c r="E21" s="141"/>
      <c r="F21" s="141" t="s">
        <v>49</v>
      </c>
      <c r="G21" s="141" t="s">
        <v>151</v>
      </c>
      <c r="H21" s="141" t="s">
        <v>142</v>
      </c>
      <c r="I21" s="141" t="s">
        <v>143</v>
      </c>
      <c r="J21" s="128"/>
      <c r="R21" s="137"/>
      <c r="S21" s="137"/>
      <c r="T21" s="137"/>
      <c r="U21" s="137"/>
    </row>
    <row r="22" spans="1:21" x14ac:dyDescent="0.2">
      <c r="A22" s="127">
        <v>45370</v>
      </c>
      <c r="B22" s="141" t="s">
        <v>177</v>
      </c>
      <c r="C22" s="141">
        <v>1</v>
      </c>
      <c r="D22" s="141">
        <f>VLOOKUP(B22,'Rates_PIN_Prj#_TX# input'!$A$7:$B$14,2,FALSE)*C22</f>
        <v>36</v>
      </c>
      <c r="E22" s="141"/>
      <c r="F22" s="141" t="s">
        <v>49</v>
      </c>
      <c r="G22" s="141" t="s">
        <v>133</v>
      </c>
      <c r="H22" s="141" t="s">
        <v>129</v>
      </c>
      <c r="I22" s="141" t="s">
        <v>130</v>
      </c>
      <c r="J22" s="128"/>
      <c r="R22" s="137"/>
      <c r="S22" s="137"/>
      <c r="T22" s="137"/>
      <c r="U22" s="137"/>
    </row>
    <row r="23" spans="1:21" x14ac:dyDescent="0.2">
      <c r="A23" s="127">
        <v>45370</v>
      </c>
      <c r="B23" s="141" t="s">
        <v>177</v>
      </c>
      <c r="C23" s="141">
        <v>1.5</v>
      </c>
      <c r="D23" s="141">
        <f>VLOOKUP(B23,'Rates_PIN_Prj#_TX# input'!$A$7:$B$14,2,FALSE)*C23</f>
        <v>54</v>
      </c>
      <c r="E23" s="141"/>
      <c r="F23" s="141" t="s">
        <v>49</v>
      </c>
      <c r="G23" s="141" t="s">
        <v>134</v>
      </c>
      <c r="H23" s="141" t="s">
        <v>110</v>
      </c>
      <c r="I23" s="141" t="s">
        <v>111</v>
      </c>
      <c r="J23" s="128"/>
      <c r="R23" s="137"/>
      <c r="S23" s="137"/>
      <c r="T23" s="137"/>
      <c r="U23" s="137"/>
    </row>
    <row r="24" spans="1:21" x14ac:dyDescent="0.2">
      <c r="A24" s="127">
        <v>45370</v>
      </c>
      <c r="B24" s="141" t="s">
        <v>177</v>
      </c>
      <c r="C24" s="141">
        <v>0.5</v>
      </c>
      <c r="D24" s="141">
        <f>VLOOKUP(B24,'Rates_PIN_Prj#_TX# input'!$A$7:$B$14,2,FALSE)*C24</f>
        <v>18</v>
      </c>
      <c r="E24" s="141"/>
      <c r="F24" s="141" t="s">
        <v>49</v>
      </c>
      <c r="G24" s="141" t="s">
        <v>167</v>
      </c>
      <c r="H24" s="141" t="s">
        <v>155</v>
      </c>
      <c r="I24" s="141" t="s">
        <v>156</v>
      </c>
      <c r="J24" s="128"/>
      <c r="R24" s="137"/>
      <c r="S24" s="137"/>
      <c r="T24" s="137"/>
      <c r="U24" s="137"/>
    </row>
    <row r="25" spans="1:21" x14ac:dyDescent="0.2">
      <c r="A25" s="127">
        <v>45370</v>
      </c>
      <c r="B25" s="141" t="s">
        <v>177</v>
      </c>
      <c r="C25" s="141">
        <v>0.5</v>
      </c>
      <c r="D25" s="141">
        <f>VLOOKUP(B25,'Rates_PIN_Prj#_TX# input'!$A$7:$B$14,2,FALSE)*C25</f>
        <v>18</v>
      </c>
      <c r="E25" s="141"/>
      <c r="F25" s="141" t="s">
        <v>50</v>
      </c>
      <c r="G25" s="141" t="s">
        <v>168</v>
      </c>
      <c r="H25" s="141" t="s">
        <v>159</v>
      </c>
      <c r="I25" s="141" t="s">
        <v>160</v>
      </c>
      <c r="J25" s="128"/>
      <c r="R25" s="137"/>
      <c r="S25" s="137"/>
      <c r="T25" s="137"/>
      <c r="U25" s="137"/>
    </row>
    <row r="26" spans="1:21" x14ac:dyDescent="0.2">
      <c r="A26" s="127">
        <v>45370</v>
      </c>
      <c r="B26" s="141" t="s">
        <v>176</v>
      </c>
      <c r="C26" s="141">
        <v>4.5</v>
      </c>
      <c r="D26" s="141">
        <f>VLOOKUP(B26,'Rates_PIN_Prj#_TX# input'!$A$7:$B$14,2,FALSE)*C26</f>
        <v>126</v>
      </c>
      <c r="E26" s="141"/>
      <c r="F26" s="141" t="s">
        <v>49</v>
      </c>
      <c r="G26" s="141" t="s">
        <v>150</v>
      </c>
      <c r="H26" s="141" t="s">
        <v>140</v>
      </c>
      <c r="I26" s="141" t="s">
        <v>141</v>
      </c>
      <c r="J26" s="128"/>
      <c r="R26" s="137"/>
      <c r="S26" s="137"/>
      <c r="T26" s="137"/>
      <c r="U26" s="137"/>
    </row>
    <row r="27" spans="1:21" x14ac:dyDescent="0.2">
      <c r="A27" s="127">
        <v>45370</v>
      </c>
      <c r="B27" s="141" t="s">
        <v>176</v>
      </c>
      <c r="C27" s="141">
        <v>0.5</v>
      </c>
      <c r="D27" s="141">
        <f>VLOOKUP(B27,'Rates_PIN_Prj#_TX# input'!$A$7:$B$14,2,FALSE)*C27</f>
        <v>14</v>
      </c>
      <c r="E27" s="141"/>
      <c r="F27" s="141" t="s">
        <v>49</v>
      </c>
      <c r="G27" s="141" t="s">
        <v>134</v>
      </c>
      <c r="H27" s="141" t="s">
        <v>110</v>
      </c>
      <c r="I27" s="141" t="s">
        <v>111</v>
      </c>
      <c r="J27" s="128"/>
      <c r="R27" s="137"/>
      <c r="S27" s="137"/>
      <c r="T27" s="137"/>
      <c r="U27" s="137"/>
    </row>
    <row r="28" spans="1:21" x14ac:dyDescent="0.2">
      <c r="A28" s="127">
        <v>45370</v>
      </c>
      <c r="B28" s="141" t="s">
        <v>176</v>
      </c>
      <c r="C28" s="141">
        <v>2</v>
      </c>
      <c r="D28" s="141">
        <f>VLOOKUP(B28,'Rates_PIN_Prj#_TX# input'!$A$7:$B$14,2,FALSE)*C28</f>
        <v>56</v>
      </c>
      <c r="E28" s="141"/>
      <c r="F28" s="141" t="s">
        <v>49</v>
      </c>
      <c r="G28" s="141" t="s">
        <v>152</v>
      </c>
      <c r="H28" s="141" t="s">
        <v>144</v>
      </c>
      <c r="I28" s="141" t="s">
        <v>145</v>
      </c>
      <c r="J28" s="128"/>
      <c r="R28" s="137"/>
      <c r="S28" s="137"/>
      <c r="T28" s="137"/>
      <c r="U28" s="137"/>
    </row>
    <row r="29" spans="1:21" x14ac:dyDescent="0.2">
      <c r="A29" s="127">
        <v>45371</v>
      </c>
      <c r="B29" s="141" t="s">
        <v>177</v>
      </c>
      <c r="C29" s="141">
        <v>2.5</v>
      </c>
      <c r="D29" s="141">
        <f>VLOOKUP(B29,'Rates_PIN_Prj#_TX# input'!$A$7:$B$14,2,FALSE)*C29</f>
        <v>90</v>
      </c>
      <c r="E29" s="141"/>
      <c r="F29" s="141" t="s">
        <v>49</v>
      </c>
      <c r="G29" s="141" t="s">
        <v>133</v>
      </c>
      <c r="H29" s="141" t="s">
        <v>129</v>
      </c>
      <c r="I29" s="141" t="s">
        <v>130</v>
      </c>
      <c r="J29" s="128"/>
      <c r="R29" s="137"/>
      <c r="S29" s="137"/>
      <c r="T29" s="137"/>
      <c r="U29" s="137"/>
    </row>
    <row r="30" spans="1:21" x14ac:dyDescent="0.2">
      <c r="A30" s="127">
        <v>45371</v>
      </c>
      <c r="B30" s="141" t="s">
        <v>177</v>
      </c>
      <c r="C30" s="141">
        <v>3</v>
      </c>
      <c r="D30" s="141">
        <f>VLOOKUP(B30,'Rates_PIN_Prj#_TX# input'!$A$7:$B$14,2,FALSE)*C30</f>
        <v>108</v>
      </c>
      <c r="E30" s="141"/>
      <c r="F30" s="141" t="s">
        <v>49</v>
      </c>
      <c r="G30" s="141" t="s">
        <v>170</v>
      </c>
      <c r="H30" s="141" t="s">
        <v>163</v>
      </c>
      <c r="I30" s="141" t="s">
        <v>164</v>
      </c>
      <c r="J30" s="128"/>
      <c r="R30" s="137"/>
      <c r="S30" s="137"/>
      <c r="T30" s="137"/>
      <c r="U30" s="137"/>
    </row>
    <row r="31" spans="1:21" x14ac:dyDescent="0.2">
      <c r="A31" s="127">
        <v>45371</v>
      </c>
      <c r="B31" s="141" t="s">
        <v>176</v>
      </c>
      <c r="C31" s="141">
        <v>2.5</v>
      </c>
      <c r="D31" s="141">
        <f>VLOOKUP(B31,'Rates_PIN_Prj#_TX# input'!$A$7:$B$14,2,FALSE)*C31</f>
        <v>70</v>
      </c>
      <c r="E31" s="141"/>
      <c r="F31" s="141" t="s">
        <v>49</v>
      </c>
      <c r="G31" s="141" t="s">
        <v>149</v>
      </c>
      <c r="H31" s="141" t="s">
        <v>138</v>
      </c>
      <c r="I31" s="141" t="s">
        <v>139</v>
      </c>
      <c r="J31" s="128"/>
      <c r="R31" s="137"/>
      <c r="S31" s="137"/>
      <c r="T31" s="137"/>
      <c r="U31" s="137"/>
    </row>
    <row r="32" spans="1:21" x14ac:dyDescent="0.2">
      <c r="A32" s="127">
        <v>45372</v>
      </c>
      <c r="B32" s="141" t="s">
        <v>177</v>
      </c>
      <c r="C32" s="141">
        <v>0.5</v>
      </c>
      <c r="D32" s="141">
        <f>VLOOKUP(B32,'Rates_PIN_Prj#_TX# input'!$A$7:$B$14,2,FALSE)*C32</f>
        <v>18</v>
      </c>
      <c r="E32" s="141"/>
      <c r="F32" s="141" t="s">
        <v>49</v>
      </c>
      <c r="G32" s="141" t="s">
        <v>133</v>
      </c>
      <c r="H32" s="141" t="s">
        <v>129</v>
      </c>
      <c r="I32" s="141" t="s">
        <v>130</v>
      </c>
      <c r="J32" s="128"/>
      <c r="R32" s="137"/>
      <c r="S32" s="137"/>
      <c r="T32" s="137"/>
      <c r="U32" s="137"/>
    </row>
    <row r="33" spans="1:21" x14ac:dyDescent="0.2">
      <c r="A33" s="127">
        <v>45372</v>
      </c>
      <c r="B33" s="141" t="s">
        <v>177</v>
      </c>
      <c r="C33" s="141">
        <v>0.5</v>
      </c>
      <c r="D33" s="141">
        <f>VLOOKUP(B33,'Rates_PIN_Prj#_TX# input'!$A$7:$B$14,2,FALSE)*C33</f>
        <v>18</v>
      </c>
      <c r="E33" s="141"/>
      <c r="F33" s="141" t="s">
        <v>49</v>
      </c>
      <c r="G33" s="141" t="s">
        <v>148</v>
      </c>
      <c r="H33" s="141" t="s">
        <v>146</v>
      </c>
      <c r="I33" s="141" t="s">
        <v>147</v>
      </c>
      <c r="J33" s="128"/>
      <c r="R33" s="137"/>
      <c r="S33" s="137"/>
      <c r="T33" s="137"/>
      <c r="U33" s="137"/>
    </row>
    <row r="34" spans="1:21" x14ac:dyDescent="0.2">
      <c r="A34" s="127">
        <v>45372</v>
      </c>
      <c r="B34" s="141" t="s">
        <v>177</v>
      </c>
      <c r="C34" s="141">
        <v>1</v>
      </c>
      <c r="D34" s="141">
        <f>VLOOKUP(B34,'Rates_PIN_Prj#_TX# input'!$A$7:$B$14,2,FALSE)*C34</f>
        <v>36</v>
      </c>
      <c r="E34" s="141"/>
      <c r="F34" s="141" t="s">
        <v>49</v>
      </c>
      <c r="G34" s="141" t="s">
        <v>131</v>
      </c>
      <c r="H34" s="141" t="s">
        <v>123</v>
      </c>
      <c r="I34" s="141" t="s">
        <v>124</v>
      </c>
      <c r="J34" s="128"/>
      <c r="R34" s="137"/>
      <c r="S34" s="137"/>
      <c r="T34" s="137"/>
      <c r="U34" s="137"/>
    </row>
    <row r="35" spans="1:21" x14ac:dyDescent="0.2">
      <c r="A35" s="127">
        <v>45372</v>
      </c>
      <c r="B35" s="141" t="s">
        <v>176</v>
      </c>
      <c r="C35" s="141">
        <v>2</v>
      </c>
      <c r="D35" s="141">
        <f>VLOOKUP(B35,'Rates_PIN_Prj#_TX# input'!$A$7:$B$14,2,FALSE)*C35</f>
        <v>56</v>
      </c>
      <c r="E35" s="141"/>
      <c r="F35" s="141" t="s">
        <v>49</v>
      </c>
      <c r="G35" s="141" t="s">
        <v>148</v>
      </c>
      <c r="H35" s="141" t="s">
        <v>146</v>
      </c>
      <c r="I35" s="141" t="s">
        <v>147</v>
      </c>
      <c r="J35" s="128"/>
      <c r="R35" s="137"/>
      <c r="S35" s="137"/>
      <c r="T35" s="137"/>
      <c r="U35" s="137"/>
    </row>
    <row r="36" spans="1:21" x14ac:dyDescent="0.2">
      <c r="A36" s="127">
        <v>45372</v>
      </c>
      <c r="B36" s="141" t="s">
        <v>176</v>
      </c>
      <c r="C36" s="141">
        <v>1</v>
      </c>
      <c r="D36" s="141">
        <f>VLOOKUP(B36,'Rates_PIN_Prj#_TX# input'!$A$7:$B$14,2,FALSE)*C36</f>
        <v>28</v>
      </c>
      <c r="E36" s="141"/>
      <c r="F36" s="141" t="s">
        <v>49</v>
      </c>
      <c r="G36" s="141" t="s">
        <v>134</v>
      </c>
      <c r="H36" s="141" t="s">
        <v>110</v>
      </c>
      <c r="I36" s="141" t="s">
        <v>111</v>
      </c>
      <c r="J36" s="128"/>
      <c r="R36" s="137"/>
      <c r="S36" s="137"/>
      <c r="T36" s="137"/>
      <c r="U36" s="137"/>
    </row>
    <row r="37" spans="1:21" x14ac:dyDescent="0.2">
      <c r="A37" s="127">
        <v>45372</v>
      </c>
      <c r="B37" s="141" t="s">
        <v>176</v>
      </c>
      <c r="C37" s="141">
        <v>0.5</v>
      </c>
      <c r="D37" s="141">
        <f>VLOOKUP(B37,'Rates_PIN_Prj#_TX# input'!$A$7:$B$14,2,FALSE)*C37</f>
        <v>14</v>
      </c>
      <c r="E37" s="141"/>
      <c r="F37" s="141" t="s">
        <v>49</v>
      </c>
      <c r="G37" s="141" t="s">
        <v>149</v>
      </c>
      <c r="H37" s="141" t="s">
        <v>138</v>
      </c>
      <c r="I37" s="141" t="s">
        <v>139</v>
      </c>
      <c r="J37" s="128"/>
      <c r="R37" s="137"/>
      <c r="S37" s="137"/>
      <c r="T37" s="137"/>
      <c r="U37" s="137"/>
    </row>
    <row r="38" spans="1:21" x14ac:dyDescent="0.2">
      <c r="A38" s="127">
        <v>45372</v>
      </c>
      <c r="B38" s="141" t="s">
        <v>176</v>
      </c>
      <c r="C38" s="141">
        <v>1</v>
      </c>
      <c r="D38" s="141">
        <f>VLOOKUP(B38,'Rates_PIN_Prj#_TX# input'!$A$7:$B$14,2,FALSE)*C38</f>
        <v>28</v>
      </c>
      <c r="E38" s="141"/>
      <c r="F38" s="141" t="s">
        <v>49</v>
      </c>
      <c r="G38" s="141" t="s">
        <v>151</v>
      </c>
      <c r="H38" s="141" t="s">
        <v>142</v>
      </c>
      <c r="I38" s="141" t="s">
        <v>143</v>
      </c>
      <c r="J38" s="128"/>
      <c r="R38" s="137"/>
      <c r="S38" s="137"/>
      <c r="T38" s="137"/>
      <c r="U38" s="137"/>
    </row>
    <row r="39" spans="1:21" x14ac:dyDescent="0.2">
      <c r="A39" s="127">
        <v>45373</v>
      </c>
      <c r="B39" s="141" t="s">
        <v>177</v>
      </c>
      <c r="C39" s="141">
        <v>1</v>
      </c>
      <c r="D39" s="141">
        <f>VLOOKUP(B39,'Rates_PIN_Prj#_TX# input'!$A$7:$B$14,2,FALSE)*C39</f>
        <v>36</v>
      </c>
      <c r="E39" s="141"/>
      <c r="F39" s="141" t="s">
        <v>49</v>
      </c>
      <c r="G39" s="141" t="s">
        <v>148</v>
      </c>
      <c r="H39" s="141" t="s">
        <v>146</v>
      </c>
      <c r="I39" s="141" t="s">
        <v>147</v>
      </c>
      <c r="J39" s="128"/>
      <c r="R39" s="137"/>
      <c r="S39" s="137"/>
      <c r="T39" s="137"/>
      <c r="U39" s="137"/>
    </row>
    <row r="40" spans="1:21" x14ac:dyDescent="0.2">
      <c r="A40" s="127">
        <v>45373</v>
      </c>
      <c r="B40" s="141" t="s">
        <v>177</v>
      </c>
      <c r="C40" s="141">
        <v>4</v>
      </c>
      <c r="D40" s="141">
        <f>VLOOKUP(B40,'Rates_PIN_Prj#_TX# input'!$A$7:$B$14,2,FALSE)*C40</f>
        <v>144</v>
      </c>
      <c r="E40" s="141"/>
      <c r="F40" s="141" t="s">
        <v>49</v>
      </c>
      <c r="G40" s="141" t="s">
        <v>131</v>
      </c>
      <c r="H40" s="141" t="s">
        <v>123</v>
      </c>
      <c r="I40" s="141" t="s">
        <v>124</v>
      </c>
      <c r="J40" s="128"/>
      <c r="R40" s="137"/>
      <c r="S40" s="137"/>
      <c r="T40" s="137"/>
      <c r="U40" s="137"/>
    </row>
    <row r="41" spans="1:21" x14ac:dyDescent="0.2">
      <c r="A41" s="127">
        <v>45373</v>
      </c>
      <c r="B41" s="141" t="s">
        <v>176</v>
      </c>
      <c r="C41" s="141">
        <v>5</v>
      </c>
      <c r="D41" s="141">
        <f>VLOOKUP(B41,'Rates_PIN_Prj#_TX# input'!$A$7:$B$14,2,FALSE)*C41</f>
        <v>140</v>
      </c>
      <c r="E41" s="141"/>
      <c r="F41" s="141" t="s">
        <v>49</v>
      </c>
      <c r="G41" s="141" t="s">
        <v>148</v>
      </c>
      <c r="H41" s="141" t="s">
        <v>146</v>
      </c>
      <c r="I41" s="141" t="s">
        <v>147</v>
      </c>
      <c r="J41" s="128"/>
      <c r="R41" s="137"/>
      <c r="S41" s="137"/>
      <c r="T41" s="137"/>
      <c r="U41" s="137"/>
    </row>
    <row r="42" spans="1:21" x14ac:dyDescent="0.2">
      <c r="A42" s="127">
        <v>45371</v>
      </c>
      <c r="B42" s="141" t="s">
        <v>191</v>
      </c>
      <c r="C42" s="141">
        <v>0.5</v>
      </c>
      <c r="D42" s="141">
        <f>VLOOKUP(B42,'Rates_PIN_Prj#_TX# input'!$A$7:$B$14,2,FALSE)*C42</f>
        <v>15</v>
      </c>
      <c r="E42" s="141"/>
      <c r="F42" s="141" t="s">
        <v>49</v>
      </c>
      <c r="G42" s="141" t="s">
        <v>205</v>
      </c>
      <c r="H42" s="141" t="s">
        <v>193</v>
      </c>
      <c r="I42" s="141" t="s">
        <v>194</v>
      </c>
      <c r="J42" s="128"/>
      <c r="R42" s="137"/>
      <c r="S42" s="137"/>
      <c r="T42" s="137"/>
      <c r="U42" s="137"/>
    </row>
    <row r="43" spans="1:21" x14ac:dyDescent="0.2">
      <c r="A43" s="127">
        <v>45371</v>
      </c>
      <c r="B43" s="141" t="s">
        <v>191</v>
      </c>
      <c r="C43" s="141">
        <v>1</v>
      </c>
      <c r="D43" s="141">
        <f>VLOOKUP(B43,'Rates_PIN_Prj#_TX# input'!$A$7:$B$14,2,FALSE)*C43</f>
        <v>30</v>
      </c>
      <c r="E43" s="141"/>
      <c r="F43" s="141" t="s">
        <v>49</v>
      </c>
      <c r="G43" s="141" t="s">
        <v>206</v>
      </c>
      <c r="H43" s="141" t="s">
        <v>195</v>
      </c>
      <c r="I43" s="141" t="s">
        <v>196</v>
      </c>
      <c r="J43" s="128"/>
      <c r="R43" s="137"/>
      <c r="S43" s="137"/>
      <c r="T43" s="137"/>
      <c r="U43" s="137"/>
    </row>
    <row r="44" spans="1:21" x14ac:dyDescent="0.2">
      <c r="A44" s="127">
        <v>45371</v>
      </c>
      <c r="B44" s="141" t="s">
        <v>191</v>
      </c>
      <c r="C44" s="141">
        <v>0.5</v>
      </c>
      <c r="D44" s="141">
        <f>VLOOKUP(B44,'Rates_PIN_Prj#_TX# input'!$A$7:$B$14,2,FALSE)*C44</f>
        <v>15</v>
      </c>
      <c r="E44" s="141"/>
      <c r="F44" s="141" t="s">
        <v>49</v>
      </c>
      <c r="G44" s="141" t="s">
        <v>207</v>
      </c>
      <c r="H44" s="141" t="s">
        <v>197</v>
      </c>
      <c r="I44" s="141" t="s">
        <v>198</v>
      </c>
      <c r="J44" s="128"/>
      <c r="R44" s="137"/>
      <c r="S44" s="137"/>
      <c r="T44" s="137"/>
      <c r="U44" s="137"/>
    </row>
    <row r="45" spans="1:21" x14ac:dyDescent="0.2">
      <c r="A45" s="127">
        <v>45372</v>
      </c>
      <c r="B45" s="141" t="s">
        <v>191</v>
      </c>
      <c r="C45" s="141">
        <v>0.5</v>
      </c>
      <c r="D45" s="141">
        <f>VLOOKUP(B45,'Rates_PIN_Prj#_TX# input'!$A$7:$B$14,2,FALSE)*C45</f>
        <v>15</v>
      </c>
      <c r="E45" s="141"/>
      <c r="F45" s="141" t="s">
        <v>49</v>
      </c>
      <c r="G45" s="141" t="s">
        <v>208</v>
      </c>
      <c r="H45" s="141" t="s">
        <v>199</v>
      </c>
      <c r="I45" s="141" t="s">
        <v>200</v>
      </c>
      <c r="J45" s="128"/>
      <c r="R45" s="137"/>
      <c r="S45" s="137"/>
      <c r="T45" s="137"/>
      <c r="U45" s="137"/>
    </row>
    <row r="46" spans="1:21" x14ac:dyDescent="0.2">
      <c r="A46" s="127">
        <v>45372</v>
      </c>
      <c r="B46" s="141" t="s">
        <v>191</v>
      </c>
      <c r="C46" s="141">
        <v>1</v>
      </c>
      <c r="D46" s="141">
        <f>VLOOKUP(B46,'Rates_PIN_Prj#_TX# input'!$A$7:$B$14,2,FALSE)*C46</f>
        <v>30</v>
      </c>
      <c r="E46" s="141"/>
      <c r="F46" s="141" t="s">
        <v>49</v>
      </c>
      <c r="G46" s="141" t="s">
        <v>209</v>
      </c>
      <c r="H46" s="141" t="s">
        <v>201</v>
      </c>
      <c r="I46" s="141" t="s">
        <v>202</v>
      </c>
      <c r="J46" s="128"/>
      <c r="R46" s="137"/>
      <c r="S46" s="137"/>
      <c r="T46" s="137"/>
      <c r="U46" s="137"/>
    </row>
    <row r="47" spans="1:21" x14ac:dyDescent="0.2">
      <c r="A47" s="127">
        <v>45372</v>
      </c>
      <c r="B47" s="141" t="s">
        <v>191</v>
      </c>
      <c r="C47" s="141">
        <v>0.5</v>
      </c>
      <c r="D47" s="141">
        <f>VLOOKUP(B47,'Rates_PIN_Prj#_TX# input'!$A$7:$B$14,2,FALSE)*C47</f>
        <v>15</v>
      </c>
      <c r="E47" s="141"/>
      <c r="F47" s="141" t="s">
        <v>49</v>
      </c>
      <c r="G47" s="141" t="s">
        <v>210</v>
      </c>
      <c r="H47" s="141" t="s">
        <v>203</v>
      </c>
      <c r="I47" s="141" t="s">
        <v>204</v>
      </c>
      <c r="J47" s="128"/>
      <c r="R47" s="137"/>
      <c r="S47" s="137"/>
      <c r="T47" s="137"/>
      <c r="U47" s="137"/>
    </row>
    <row r="48" spans="1:21" x14ac:dyDescent="0.2">
      <c r="A48" s="127">
        <v>45369</v>
      </c>
      <c r="B48" s="141" t="s">
        <v>175</v>
      </c>
      <c r="C48" s="141">
        <v>0.5</v>
      </c>
      <c r="D48" s="141">
        <f>VLOOKUP(B48,'Rates_PIN_Prj#_TX# input'!$A$7:$B$14,2,FALSE)*C48</f>
        <v>39</v>
      </c>
      <c r="E48" s="141"/>
      <c r="F48" s="141" t="s">
        <v>50</v>
      </c>
      <c r="G48" s="141" t="s">
        <v>137</v>
      </c>
      <c r="H48" s="141" t="s">
        <v>114</v>
      </c>
      <c r="I48" s="141" t="s">
        <v>115</v>
      </c>
      <c r="J48" s="128"/>
      <c r="R48" s="137"/>
      <c r="S48" s="137"/>
      <c r="T48" s="137"/>
      <c r="U48" s="137"/>
    </row>
    <row r="49" spans="1:21" x14ac:dyDescent="0.2">
      <c r="A49" s="127">
        <v>45370</v>
      </c>
      <c r="B49" s="141" t="s">
        <v>175</v>
      </c>
      <c r="C49" s="141">
        <v>1</v>
      </c>
      <c r="D49" s="141">
        <f>VLOOKUP(B49,'Rates_PIN_Prj#_TX# input'!$A$7:$B$14,2,FALSE)*C49</f>
        <v>78</v>
      </c>
      <c r="E49" s="141"/>
      <c r="F49" s="141" t="s">
        <v>49</v>
      </c>
      <c r="G49" s="141" t="s">
        <v>135</v>
      </c>
      <c r="H49" s="141" t="s">
        <v>127</v>
      </c>
      <c r="I49" s="141" t="s">
        <v>128</v>
      </c>
      <c r="J49" s="128"/>
      <c r="R49" s="137"/>
      <c r="S49" s="137"/>
      <c r="T49" s="137"/>
      <c r="U49" s="137"/>
    </row>
    <row r="50" spans="1:21" x14ac:dyDescent="0.2">
      <c r="A50" s="127">
        <v>45371</v>
      </c>
      <c r="B50" s="141" t="s">
        <v>175</v>
      </c>
      <c r="C50" s="141">
        <v>0.5</v>
      </c>
      <c r="D50" s="141">
        <f>VLOOKUP(B50,'Rates_PIN_Prj#_TX# input'!$A$7:$B$14,2,FALSE)*C50</f>
        <v>39</v>
      </c>
      <c r="E50" s="141"/>
      <c r="F50" s="141" t="s">
        <v>49</v>
      </c>
      <c r="G50" s="141" t="s">
        <v>132</v>
      </c>
      <c r="H50" s="141" t="s">
        <v>125</v>
      </c>
      <c r="I50" s="141" t="s">
        <v>126</v>
      </c>
      <c r="J50" s="128"/>
      <c r="R50" s="137"/>
      <c r="S50" s="137"/>
      <c r="T50" s="137"/>
      <c r="U50" s="137"/>
    </row>
    <row r="51" spans="1:21" x14ac:dyDescent="0.2">
      <c r="A51" s="127">
        <v>45372</v>
      </c>
      <c r="B51" s="141" t="s">
        <v>175</v>
      </c>
      <c r="C51" s="141">
        <v>0.5</v>
      </c>
      <c r="D51" s="141">
        <f>VLOOKUP(B51,'Rates_PIN_Prj#_TX# input'!$A$7:$B$14,2,FALSE)*C51</f>
        <v>39</v>
      </c>
      <c r="E51" s="141"/>
      <c r="F51" s="141" t="s">
        <v>49</v>
      </c>
      <c r="G51" s="141" t="s">
        <v>134</v>
      </c>
      <c r="H51" s="141" t="s">
        <v>110</v>
      </c>
      <c r="I51" s="141" t="s">
        <v>111</v>
      </c>
      <c r="J51" s="128"/>
      <c r="R51" s="137"/>
      <c r="S51" s="137"/>
      <c r="T51" s="137"/>
      <c r="U51" s="137"/>
    </row>
    <row r="52" spans="1:21" x14ac:dyDescent="0.2">
      <c r="A52" s="127">
        <v>45373</v>
      </c>
      <c r="B52" s="141" t="s">
        <v>175</v>
      </c>
      <c r="C52" s="141">
        <v>2.5</v>
      </c>
      <c r="D52" s="141">
        <f>VLOOKUP(B52,'Rates_PIN_Prj#_TX# input'!$A$7:$B$14,2,FALSE)*C52</f>
        <v>195</v>
      </c>
      <c r="E52" s="141"/>
      <c r="F52" s="141" t="s">
        <v>49</v>
      </c>
      <c r="G52" s="141" t="s">
        <v>131</v>
      </c>
      <c r="H52" s="141" t="s">
        <v>123</v>
      </c>
      <c r="I52" s="141" t="s">
        <v>124</v>
      </c>
      <c r="J52" s="128"/>
      <c r="R52" s="137"/>
      <c r="S52" s="137"/>
      <c r="T52" s="137"/>
      <c r="U52" s="137"/>
    </row>
    <row r="53" spans="1:21" x14ac:dyDescent="0.2">
      <c r="A53" s="127">
        <v>45373</v>
      </c>
      <c r="B53" s="141" t="s">
        <v>175</v>
      </c>
      <c r="C53" s="141">
        <v>0.5</v>
      </c>
      <c r="D53" s="141">
        <f>VLOOKUP(B53,'Rates_PIN_Prj#_TX# input'!$A$7:$B$14,2,FALSE)*C53</f>
        <v>39</v>
      </c>
      <c r="E53" s="141"/>
      <c r="F53" s="141" t="s">
        <v>49</v>
      </c>
      <c r="G53" s="141" t="s">
        <v>133</v>
      </c>
      <c r="H53" s="141" t="s">
        <v>129</v>
      </c>
      <c r="I53" s="141" t="s">
        <v>130</v>
      </c>
      <c r="J53" s="128"/>
      <c r="R53" s="137"/>
      <c r="S53" s="137"/>
      <c r="T53" s="137"/>
      <c r="U53" s="137"/>
    </row>
    <row r="55" spans="1:21" x14ac:dyDescent="0.2">
      <c r="A55" s="283" t="s">
        <v>107</v>
      </c>
      <c r="B55" s="283"/>
      <c r="C55" s="283"/>
    </row>
  </sheetData>
  <protectedRanges>
    <protectedRange sqref="F3:F24 P31:P34 F48:F53" name="Range1"/>
    <protectedRange sqref="H3:I3 H48:I48" name="Range1_2_2"/>
    <protectedRange sqref="H6:I6 H51:I51" name="Range1_3"/>
    <protectedRange sqref="H4:I4 H49:I49" name="Range1_4"/>
    <protectedRange sqref="H5:I5 H50:I50" name="Range1_5"/>
    <protectedRange sqref="H7:I7 H52:I52" name="Range1_2_3"/>
    <protectedRange sqref="H8:I8 H53:I53" name="Range1_6"/>
    <protectedRange sqref="H9:I10" name="Range1_7"/>
    <protectedRange sqref="G7 G52" name="Range1_8"/>
    <protectedRange sqref="G3 G48" name="Range1_9"/>
    <protectedRange sqref="G8 G53" name="Range1_10"/>
    <protectedRange sqref="G6 G51" name="Range1_11"/>
    <protectedRange sqref="G4 G49" name="Range1_12"/>
    <protectedRange sqref="G9" name="Range1_13"/>
    <protectedRange sqref="G10 G5 G50" name="Range1_14"/>
    <protectedRange sqref="H12:I12" name="Range1_15"/>
    <protectedRange sqref="H13" name="Range1_7_1"/>
    <protectedRange sqref="I13" name="Range1_8_1"/>
    <protectedRange sqref="H14 H11" name="Range1_9_1"/>
    <protectedRange sqref="H15" name="Range1_10_1"/>
    <protectedRange sqref="H16:I16" name="Range1_16"/>
    <protectedRange sqref="H17" name="Range1_7_2"/>
    <protectedRange sqref="I17" name="Range1_8_2"/>
    <protectedRange sqref="H18" name="Range1_10_2"/>
    <protectedRange sqref="H19" name="Range1_9_2"/>
    <protectedRange sqref="H22:I22 N32:O32" name="Range1_17"/>
    <protectedRange sqref="H21 N31" name="Range1_9_3"/>
    <protectedRange sqref="G20 G24 Q34" name="Range1_19"/>
    <protectedRange sqref="G11" name="Range1_20"/>
    <protectedRange sqref="G19" name="Range1_21"/>
    <protectedRange sqref="G21 Q31" name="Range1_22"/>
    <protectedRange sqref="G12" name="Range1_23"/>
    <protectedRange sqref="G16" name="Range1_24"/>
    <protectedRange sqref="G22 Q32" name="Range1_25"/>
    <protectedRange sqref="G13" name="Range1_26"/>
    <protectedRange sqref="G17" name="Range1_27"/>
    <protectedRange sqref="G14 G23 Q33" name="Range1_28"/>
    <protectedRange sqref="G15" name="Range1_29"/>
    <protectedRange sqref="G18" name="Range1_30"/>
    <protectedRange sqref="H23 N33" name="Range1_9_4"/>
    <protectedRange sqref="H25:I25 N35:O35" name="Range1_31"/>
    <protectedRange sqref="H26:I28 N36:O38" name="Range1_32"/>
    <protectedRange sqref="H29:I30 N39:O40 H42:I43" name="Range1_33"/>
    <protectedRange sqref="H31:I32 N41:O52 H44:I45" name="Range1_34"/>
    <protectedRange sqref="H33:I34 N53:O54 H46:I47" name="Range1_35"/>
    <protectedRange sqref="H35:I35" name="Range1_36"/>
    <protectedRange sqref="H36:I36" name="Range1_37"/>
    <protectedRange sqref="H37:I37" name="Range1_38"/>
    <protectedRange sqref="H38:I38" name="Range1_39"/>
    <protectedRange sqref="H39:I39" name="Range1_40"/>
    <protectedRange sqref="H40:I40" name="Range1_41"/>
    <protectedRange sqref="H41:I41" name="Range1_42"/>
    <protectedRange sqref="G33 Q53 G46" name="Range1_43"/>
    <protectedRange sqref="G36" name="Range1_44"/>
    <protectedRange sqref="G38" name="Range1_45"/>
    <protectedRange sqref="G37" name="Range1_46"/>
    <protectedRange sqref="G40" name="Range1_47"/>
    <protectedRange sqref="G39" name="Range1_48"/>
    <protectedRange sqref="G41" name="Range1_49"/>
    <protectedRange sqref="G28 Q38" name="Range1_50"/>
    <protectedRange sqref="G25 Q35" name="Range1_51"/>
    <protectedRange sqref="G27 Q37" name="Range1_52"/>
    <protectedRange sqref="G32 Q52 G45" name="Range1_53"/>
    <protectedRange sqref="G26 Q36" name="Range1_54"/>
    <protectedRange sqref="G31 Q41:Q51 G44" name="Range1_55"/>
    <protectedRange sqref="G29 Q39 G42" name="Range1_56"/>
    <protectedRange sqref="G34 Q54 G47" name="Range1_57"/>
    <protectedRange sqref="G30 Q40 G43" name="Range1_58"/>
    <protectedRange sqref="G35" name="Range1_59"/>
    <protectedRange sqref="N55:O55" name="Range1_36_1"/>
    <protectedRange sqref="Q55" name="Range1_59_1"/>
  </protectedRanges>
  <autoFilter ref="A2:J53" xr:uid="{F755FFFE-0203-497C-B576-613875A662C2}">
    <sortState xmlns:xlrd2="http://schemas.microsoft.com/office/spreadsheetml/2017/richdata2" ref="A3:J53">
      <sortCondition ref="A3:A53"/>
      <sortCondition ref="B3:B53"/>
      <sortCondition ref="I3:I53"/>
    </sortState>
  </autoFilter>
  <sortState xmlns:xlrd2="http://schemas.microsoft.com/office/spreadsheetml/2017/richdata2" ref="M13:Q30">
    <sortCondition ref="O13:O30"/>
  </sortState>
  <mergeCells count="4">
    <mergeCell ref="A1:D1"/>
    <mergeCell ref="F1:J1"/>
    <mergeCell ref="A55:C55"/>
    <mergeCell ref="L8:M9"/>
  </mergeCells>
  <dataValidations count="3">
    <dataValidation allowBlank="1" showInputMessage="1" showErrorMessage="1" promptTitle="PE Number" prompt="Enter the state project number (i.e. XXXXX-XXXX-XX)" sqref="R30 I3:I10 I12:I13 I16:I17 I20 I22 R26:R27 R22:R23 R13:R20 I24:I53" xr:uid="{CCF448B0-6DDD-4756-8737-1D4AFE2512CC}"/>
    <dataValidation allowBlank="1" showInputMessage="1" showErrorMessage="1" promptTitle="PIN" prompt="Enter the Project Identification Number (PIN) for the project being charged. If a project is connected to another funding PIN, reference both PINs in the cell showing the general reference PIN first and the funding PIN in parentheses next to it." sqref="H3:H53" xr:uid="{A3F1AA44-9069-420E-86D1-78E6001975EF}"/>
    <dataValidation allowBlank="1" showInputMessage="1" showErrorMessage="1" prompt="TDOT to enter this information after invoice submittal." sqref="R13:R30 G3:G53" xr:uid="{DB4037B4-8058-4729-8130-5727D74CF5EC}"/>
  </dataValidations>
  <printOptions horizontalCentered="1"/>
  <pageMargins left="0.7" right="0.7" top="0.75" bottom="0.75" header="0.3" footer="0.3"/>
  <pageSetup scale="80" orientation="landscape" verticalDpi="360" r:id="rId1"/>
  <headerFooter>
    <oddHeader>&amp;C&amp;"Arial,Bold"&amp;12Daily Labor Log</oddHeader>
    <oddFooter>&amp;R&amp;8Created 03/25/2024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Rates_PIN_Prj#_TX# input</vt:lpstr>
      <vt:lpstr>Speedchart#s Master List</vt:lpstr>
      <vt:lpstr>Instrs-Total Incl OH_NetFee </vt:lpstr>
      <vt:lpstr>PS Invoice Summary-PasFixed Fee</vt:lpstr>
      <vt:lpstr>Total Labor Summary</vt:lpstr>
      <vt:lpstr>Total including OH &amp; Net Fee</vt:lpstr>
      <vt:lpstr>Daily Labor Log</vt:lpstr>
      <vt:lpstr>'Daily Labor Log'!Print_Area</vt:lpstr>
      <vt:lpstr>'PS Invoice Summary-PasFixed Fee'!Print_Area</vt:lpstr>
      <vt:lpstr>'Total including OH &amp; Net Fee'!Print_Area</vt:lpstr>
      <vt:lpstr>'Total Labor Summary'!Print_Area</vt:lpstr>
      <vt:lpstr>'Daily Labor Log'!Print_Titles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Melanie Bumpus</dc:creator>
  <cp:lastModifiedBy>Melanie Bumpus</cp:lastModifiedBy>
  <cp:lastPrinted>2024-04-29T13:54:49Z</cp:lastPrinted>
  <dcterms:created xsi:type="dcterms:W3CDTF">2024-02-05T20:23:18Z</dcterms:created>
  <dcterms:modified xsi:type="dcterms:W3CDTF">2024-04-29T15:47:59Z</dcterms:modified>
</cp:coreProperties>
</file>